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filterPrivacy="1"/>
  <xr:revisionPtr revIDLastSave="0" documentId="13_ncr:1_{5C97C0E8-FAB4-4E49-AFC8-A3EC232D482C}" xr6:coauthVersionLast="47" xr6:coauthVersionMax="47" xr10:uidLastSave="{00000000-0000-0000-0000-000000000000}"/>
  <bookViews>
    <workbookView xWindow="0" yWindow="880" windowWidth="33420" windowHeight="18740" xr2:uid="{00000000-000D-0000-FFFF-FFFF00000000}"/>
  </bookViews>
  <sheets>
    <sheet name="A - abratax_mtd_import" sheetId="3" r:id="rId1"/>
    <sheet name="B - country_codes" sheetId="4" r:id="rId2"/>
    <sheet name="C - Summary" sheetId="7" r:id="rId3"/>
    <sheet name="D - Detailed Summary " sheetId="8" r:id="rId4"/>
    <sheet name="E - 2025-26 Digital Records" sheetId="5" r:id="rId5"/>
  </sheets>
  <definedNames>
    <definedName name="_xlnm._FilterDatabase" localSheetId="4" hidden="1">'E - 2025-26 Digital Records'!$A$1:$G$1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4" i="3"/>
  <c r="I3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K17" i="8" s="1"/>
  <c r="J8" i="8"/>
  <c r="J17" i="8" s="1"/>
  <c r="I8" i="8"/>
  <c r="I17" i="8" s="1"/>
  <c r="H8" i="8"/>
  <c r="H17" i="8" s="1"/>
  <c r="K7" i="8"/>
  <c r="J7" i="8"/>
  <c r="I7" i="8"/>
  <c r="H7" i="8"/>
  <c r="K6" i="8"/>
  <c r="J6" i="8"/>
  <c r="I6" i="8"/>
  <c r="H6" i="8"/>
  <c r="K5" i="8"/>
  <c r="J5" i="8"/>
  <c r="I5" i="8"/>
  <c r="H5" i="8"/>
  <c r="K4" i="8"/>
  <c r="J4" i="8"/>
  <c r="I4" i="8"/>
  <c r="H4" i="8"/>
  <c r="K3" i="8"/>
  <c r="J3" i="8"/>
  <c r="H3" i="8"/>
  <c r="E16" i="8"/>
  <c r="D16" i="8"/>
  <c r="C16" i="8"/>
  <c r="B16" i="8"/>
  <c r="E15" i="8"/>
  <c r="D15" i="8"/>
  <c r="C15" i="8"/>
  <c r="B15" i="8"/>
  <c r="E14" i="8"/>
  <c r="D14" i="8"/>
  <c r="C14" i="8"/>
  <c r="B14" i="8"/>
  <c r="E13" i="8"/>
  <c r="C13" i="8"/>
  <c r="D13" i="8"/>
  <c r="B13" i="8"/>
  <c r="E12" i="8"/>
  <c r="D12" i="8"/>
  <c r="C12" i="8"/>
  <c r="B12" i="8"/>
  <c r="E11" i="8"/>
  <c r="D11" i="8"/>
  <c r="C11" i="8"/>
  <c r="B11" i="8"/>
  <c r="E10" i="8"/>
  <c r="D10" i="8"/>
  <c r="C10" i="8"/>
  <c r="B10" i="8"/>
  <c r="E9" i="8"/>
  <c r="D9" i="8"/>
  <c r="C9" i="8"/>
  <c r="B9" i="8"/>
  <c r="E8" i="8"/>
  <c r="D8" i="8"/>
  <c r="C8" i="8"/>
  <c r="B8" i="8"/>
  <c r="E7" i="8"/>
  <c r="E17" i="8" s="1"/>
  <c r="D7" i="8"/>
  <c r="C7" i="8"/>
  <c r="B7" i="8"/>
  <c r="B6" i="8"/>
  <c r="B17" i="8" s="1"/>
  <c r="C6" i="8"/>
  <c r="C17" i="8" s="1"/>
  <c r="D6" i="8"/>
  <c r="D17" i="8" s="1"/>
  <c r="E6" i="8"/>
  <c r="E5" i="8"/>
  <c r="D5" i="8"/>
  <c r="C5" i="8"/>
  <c r="B5" i="8"/>
  <c r="E4" i="8"/>
  <c r="D4" i="8"/>
  <c r="C4" i="8"/>
  <c r="B4" i="8"/>
  <c r="B3" i="8"/>
  <c r="E3" i="8"/>
  <c r="D3" i="8"/>
  <c r="C3" i="8"/>
  <c r="K5" i="7"/>
  <c r="J5" i="7"/>
  <c r="I5" i="7"/>
  <c r="H5" i="7"/>
  <c r="K4" i="7"/>
  <c r="J4" i="7"/>
  <c r="I4" i="7"/>
  <c r="H4" i="7"/>
  <c r="K3" i="7"/>
  <c r="J3" i="7"/>
  <c r="I3" i="7"/>
  <c r="H3" i="7"/>
  <c r="E4" i="7"/>
  <c r="D4" i="7"/>
  <c r="C4" i="7"/>
  <c r="E3" i="7"/>
  <c r="D3" i="7"/>
  <c r="D5" i="7" s="1"/>
  <c r="C3" i="7"/>
  <c r="C5" i="7" s="1"/>
  <c r="B4" i="7"/>
  <c r="B3" i="7"/>
  <c r="B4" i="3" s="1"/>
  <c r="E5" i="7" l="1"/>
  <c r="B5" i="7"/>
  <c r="B20" i="3"/>
</calcChain>
</file>

<file path=xl/sharedStrings.xml><?xml version="1.0" encoding="utf-8"?>
<sst xmlns="http://schemas.openxmlformats.org/spreadsheetml/2006/main" count="745" uniqueCount="592">
  <si>
    <t>Date</t>
  </si>
  <si>
    <t>Country</t>
  </si>
  <si>
    <t>Description</t>
  </si>
  <si>
    <t>FX Rate</t>
  </si>
  <si>
    <t>Category</t>
  </si>
  <si>
    <t>ESP</t>
  </si>
  <si>
    <t>Other</t>
  </si>
  <si>
    <t>Premises running costs</t>
  </si>
  <si>
    <t>Financial costs</t>
  </si>
  <si>
    <t>Repairs and maintenance</t>
  </si>
  <si>
    <t>Foreign tax paid or deducted</t>
  </si>
  <si>
    <t>Cost of services</t>
  </si>
  <si>
    <t>Professional fees</t>
  </si>
  <si>
    <t>Foreign tax credit relief</t>
  </si>
  <si>
    <t>Travel costs</t>
  </si>
  <si>
    <t>Residential financial cost</t>
  </si>
  <si>
    <t>Special withholding tax or UK tax paid</t>
  </si>
  <si>
    <t>PRT</t>
  </si>
  <si>
    <t>Box Reference</t>
  </si>
  <si>
    <t>Rent Income / rent amount</t>
  </si>
  <si>
    <t>Premiums of lease grant</t>
  </si>
  <si>
    <t>Special withholding tax or Uk tax paid</t>
  </si>
  <si>
    <t>Consolidated expenses</t>
  </si>
  <si>
    <t>Brought forward residential financial cost</t>
  </si>
  <si>
    <t>Expenses</t>
  </si>
  <si>
    <t>This tab will move to a new worksheet. Save this new worksheet as a CSV file (File -&gt; Save as, file format = CSV ) and import it to AbraTax</t>
  </si>
  <si>
    <t xml:space="preserve">5)
</t>
  </si>
  <si>
    <t>Under the "To Book" dropdown, select "(new book)", press OK.</t>
  </si>
  <si>
    <t>4)</t>
  </si>
  <si>
    <t>Once complete, right click on the "abratax_mtd_import" tab at the bottom of this sheet and select "Move or Copy..."</t>
  </si>
  <si>
    <t>3)</t>
  </si>
  <si>
    <t>For each of the coloured boxes, create a formula link to the corresponding box in your property business working file for the respective country. Any nil values should be populated with a 0.</t>
  </si>
  <si>
    <t xml:space="preserve">2)
</t>
  </si>
  <si>
    <t>Income</t>
  </si>
  <si>
    <t>Add this tab to your excel property business working file (your digital records)</t>
  </si>
  <si>
    <t>1)</t>
  </si>
  <si>
    <t>ISO 3 letter country code (see other tab)</t>
  </si>
  <si>
    <t>Instructions</t>
  </si>
  <si>
    <t>COUNTRY 5</t>
  </si>
  <si>
    <t>COUNTRY 4</t>
  </si>
  <si>
    <t>COUNTRY 3</t>
  </si>
  <si>
    <t>COUNTRY 2</t>
  </si>
  <si>
    <t>COUNTRY 1</t>
  </si>
  <si>
    <t>ALA</t>
  </si>
  <si>
    <t>Åland Islands</t>
  </si>
  <si>
    <t>ZWE</t>
  </si>
  <si>
    <t>Zimbabwe</t>
  </si>
  <si>
    <t>ZMB</t>
  </si>
  <si>
    <t>Zambia</t>
  </si>
  <si>
    <t>YEM</t>
  </si>
  <si>
    <t>Yemen</t>
  </si>
  <si>
    <t>ESH</t>
  </si>
  <si>
    <t>Western Sahara*</t>
  </si>
  <si>
    <t>WLF</t>
  </si>
  <si>
    <t>Wallis and Futuna</t>
  </si>
  <si>
    <t>VIR</t>
  </si>
  <si>
    <t>Virgin Islands (U.S.)</t>
  </si>
  <si>
    <t>VGB</t>
  </si>
  <si>
    <t>Virgin Islands (British)</t>
  </si>
  <si>
    <t>VNM</t>
  </si>
  <si>
    <t>Viet Nam</t>
  </si>
  <si>
    <t>VEN</t>
  </si>
  <si>
    <t>Venezuela (Bolivarian Republic of)</t>
  </si>
  <si>
    <t>VUT</t>
  </si>
  <si>
    <t>Vanuatu</t>
  </si>
  <si>
    <t>UZB</t>
  </si>
  <si>
    <t>Uzbekistan</t>
  </si>
  <si>
    <t>URY</t>
  </si>
  <si>
    <t>Uruguay</t>
  </si>
  <si>
    <t>USA</t>
  </si>
  <si>
    <t>United States of America (the)</t>
  </si>
  <si>
    <t>UMI</t>
  </si>
  <si>
    <t>United States Minor Outlying Islands (the)</t>
  </si>
  <si>
    <t>GBR</t>
  </si>
  <si>
    <t>United Kingdom of Great Britain and Northern Ireland (the)</t>
  </si>
  <si>
    <t>ARE</t>
  </si>
  <si>
    <t>United Arab Emirates (the)</t>
  </si>
  <si>
    <t>UKR</t>
  </si>
  <si>
    <t>Ukraine</t>
  </si>
  <si>
    <t>UGA</t>
  </si>
  <si>
    <t>Uganda</t>
  </si>
  <si>
    <t>TUR</t>
  </si>
  <si>
    <t>Türkiye</t>
  </si>
  <si>
    <t>TUV</t>
  </si>
  <si>
    <t>Tuvalu</t>
  </si>
  <si>
    <t>TCA</t>
  </si>
  <si>
    <t>Turks and Caicos Islands (the)</t>
  </si>
  <si>
    <t>TKM</t>
  </si>
  <si>
    <t>Turkmenistan</t>
  </si>
  <si>
    <t>TUN</t>
  </si>
  <si>
    <t>Tunisia</t>
  </si>
  <si>
    <t>TTO</t>
  </si>
  <si>
    <t>Trinidad and Tobago</t>
  </si>
  <si>
    <t>TON</t>
  </si>
  <si>
    <t>Tonga</t>
  </si>
  <si>
    <t>TKL</t>
  </si>
  <si>
    <t>Tokelau</t>
  </si>
  <si>
    <t>TGO</t>
  </si>
  <si>
    <t>Togo</t>
  </si>
  <si>
    <t>TLS</t>
  </si>
  <si>
    <t>Timor-Leste</t>
  </si>
  <si>
    <t>THA</t>
  </si>
  <si>
    <t>Thailand</t>
  </si>
  <si>
    <t>TZA</t>
  </si>
  <si>
    <t>Tanzania, the United Republic of</t>
  </si>
  <si>
    <t>TJK</t>
  </si>
  <si>
    <t>Tajikistan</t>
  </si>
  <si>
    <t>TWN</t>
  </si>
  <si>
    <t>Taiwan (Province of China)</t>
  </si>
  <si>
    <t>SYR</t>
  </si>
  <si>
    <t>Syrian Arab Republic (the)</t>
  </si>
  <si>
    <t>CHE</t>
  </si>
  <si>
    <t>Switzerland</t>
  </si>
  <si>
    <t>SWE</t>
  </si>
  <si>
    <t>Sweden</t>
  </si>
  <si>
    <t>SJM</t>
  </si>
  <si>
    <t>Svalbard and Jan Mayen</t>
  </si>
  <si>
    <t>SUR</t>
  </si>
  <si>
    <t>Suriname</t>
  </si>
  <si>
    <t>SDN</t>
  </si>
  <si>
    <t>Sudan (the)</t>
  </si>
  <si>
    <t>LKA</t>
  </si>
  <si>
    <t>Sri Lanka</t>
  </si>
  <si>
    <t>Spain</t>
  </si>
  <si>
    <t>SSD</t>
  </si>
  <si>
    <t>South Sudan</t>
  </si>
  <si>
    <t>SGS</t>
  </si>
  <si>
    <t>South Georgia and the South Sandwich Islands</t>
  </si>
  <si>
    <t>ZAF</t>
  </si>
  <si>
    <t>South Africa</t>
  </si>
  <si>
    <t>SOM</t>
  </si>
  <si>
    <t>Somalia</t>
  </si>
  <si>
    <t>SLB</t>
  </si>
  <si>
    <t>Solomon Islands</t>
  </si>
  <si>
    <t>SVN</t>
  </si>
  <si>
    <t>Slovenia</t>
  </si>
  <si>
    <t>SVK</t>
  </si>
  <si>
    <t>Slovakia</t>
  </si>
  <si>
    <t>SXM</t>
  </si>
  <si>
    <t>Sint Maarten (Dutch part)</t>
  </si>
  <si>
    <t>SGP</t>
  </si>
  <si>
    <t>Singapore</t>
  </si>
  <si>
    <t>SLE</t>
  </si>
  <si>
    <t>Sierra Leone</t>
  </si>
  <si>
    <t>SYC</t>
  </si>
  <si>
    <t>Seychelles</t>
  </si>
  <si>
    <t>SRB</t>
  </si>
  <si>
    <t>Serbia</t>
  </si>
  <si>
    <t>SEN</t>
  </si>
  <si>
    <t>Senegal</t>
  </si>
  <si>
    <t>SAU</t>
  </si>
  <si>
    <t>Saudi Arabia</t>
  </si>
  <si>
    <t>STP</t>
  </si>
  <si>
    <t>Sao Tome and Principe</t>
  </si>
  <si>
    <t>SMR</t>
  </si>
  <si>
    <t>San Marino</t>
  </si>
  <si>
    <t>WSM</t>
  </si>
  <si>
    <t>Samoa</t>
  </si>
  <si>
    <t>VCT</t>
  </si>
  <si>
    <t>Saint Vincent and the Grenadines</t>
  </si>
  <si>
    <t>SPM</t>
  </si>
  <si>
    <t>Saint Pierre and Miquelon</t>
  </si>
  <si>
    <t>MAF</t>
  </si>
  <si>
    <t>Saint Martin (French part)</t>
  </si>
  <si>
    <t>LCA</t>
  </si>
  <si>
    <t>Saint Lucia</t>
  </si>
  <si>
    <t>KNA</t>
  </si>
  <si>
    <t>Saint Kitts and Nevis</t>
  </si>
  <si>
    <t>SHN</t>
  </si>
  <si>
    <t>Saint Helena, Ascension and Tristan da Cunha</t>
  </si>
  <si>
    <t>BLM</t>
  </si>
  <si>
    <t>Saint Barthélemy</t>
  </si>
  <si>
    <t>REU</t>
  </si>
  <si>
    <t>Réunion</t>
  </si>
  <si>
    <t>RWA</t>
  </si>
  <si>
    <t>Rwanda</t>
  </si>
  <si>
    <t>RUS</t>
  </si>
  <si>
    <t>Russian Federation (the)</t>
  </si>
  <si>
    <t>ROU</t>
  </si>
  <si>
    <t>Romania</t>
  </si>
  <si>
    <t>QAT</t>
  </si>
  <si>
    <t>Qatar</t>
  </si>
  <si>
    <t>PRI</t>
  </si>
  <si>
    <t>Puerto Rico</t>
  </si>
  <si>
    <t>Portugal</t>
  </si>
  <si>
    <t>POL</t>
  </si>
  <si>
    <t>Poland</t>
  </si>
  <si>
    <t>PCN</t>
  </si>
  <si>
    <t>Pitcairn</t>
  </si>
  <si>
    <t>PHL</t>
  </si>
  <si>
    <t>Philippines (the)</t>
  </si>
  <si>
    <t>PER</t>
  </si>
  <si>
    <t>Peru</t>
  </si>
  <si>
    <t>PRY</t>
  </si>
  <si>
    <t>Paraguay</t>
  </si>
  <si>
    <t>PNG</t>
  </si>
  <si>
    <t>Papua New Guinea</t>
  </si>
  <si>
    <t>PAN</t>
  </si>
  <si>
    <t>Panama</t>
  </si>
  <si>
    <t>PSE</t>
  </si>
  <si>
    <t>Palestine, State of</t>
  </si>
  <si>
    <t>PLW</t>
  </si>
  <si>
    <t>Palau</t>
  </si>
  <si>
    <t>PAK</t>
  </si>
  <si>
    <t>Pakistan</t>
  </si>
  <si>
    <t>OMN</t>
  </si>
  <si>
    <t>Oman</t>
  </si>
  <si>
    <t>NOR</t>
  </si>
  <si>
    <t>Norway</t>
  </si>
  <si>
    <t>MNP</t>
  </si>
  <si>
    <t>Northern Mariana Islands (the)</t>
  </si>
  <si>
    <t>MKD</t>
  </si>
  <si>
    <t>North Macedonia</t>
  </si>
  <si>
    <t>NFK</t>
  </si>
  <si>
    <t>Norfolk Island</t>
  </si>
  <si>
    <t>NIU</t>
  </si>
  <si>
    <t>Niue</t>
  </si>
  <si>
    <t>NGA</t>
  </si>
  <si>
    <t>Nigeria</t>
  </si>
  <si>
    <t>NER</t>
  </si>
  <si>
    <t>Niger (the)</t>
  </si>
  <si>
    <t>NIC</t>
  </si>
  <si>
    <t>Nicaragua</t>
  </si>
  <si>
    <t>NZL</t>
  </si>
  <si>
    <t>New Zealand</t>
  </si>
  <si>
    <t>NCL</t>
  </si>
  <si>
    <t>New Caledonia</t>
  </si>
  <si>
    <t>NLD</t>
  </si>
  <si>
    <t>Netherlands (Kingdom of the)</t>
  </si>
  <si>
    <t>NPL</t>
  </si>
  <si>
    <t>Nepal</t>
  </si>
  <si>
    <t>NRU</t>
  </si>
  <si>
    <t>Nauru</t>
  </si>
  <si>
    <t>NAM</t>
  </si>
  <si>
    <t>Namibia</t>
  </si>
  <si>
    <t>MMR</t>
  </si>
  <si>
    <t>Myanmar</t>
  </si>
  <si>
    <t>MOZ</t>
  </si>
  <si>
    <t>Mozambique</t>
  </si>
  <si>
    <t>MAR</t>
  </si>
  <si>
    <t>Morocco</t>
  </si>
  <si>
    <t>MSR</t>
  </si>
  <si>
    <t>Montserrat</t>
  </si>
  <si>
    <t>MNE</t>
  </si>
  <si>
    <t>Montenegro</t>
  </si>
  <si>
    <t>MNG</t>
  </si>
  <si>
    <t>Mongolia</t>
  </si>
  <si>
    <t>MCO</t>
  </si>
  <si>
    <t>Monaco</t>
  </si>
  <si>
    <t>MDA</t>
  </si>
  <si>
    <t>Moldova (the Republic of)</t>
  </si>
  <si>
    <t>FSM</t>
  </si>
  <si>
    <t>Micronesia (Federated States of)</t>
  </si>
  <si>
    <t>MEX</t>
  </si>
  <si>
    <t>Mexico</t>
  </si>
  <si>
    <t>MYT</t>
  </si>
  <si>
    <t>Mayotte</t>
  </si>
  <si>
    <t>MUS</t>
  </si>
  <si>
    <t>Mauritius</t>
  </si>
  <si>
    <t>MRT</t>
  </si>
  <si>
    <t>Mauritania</t>
  </si>
  <si>
    <t>MTQ</t>
  </si>
  <si>
    <t>Martinique</t>
  </si>
  <si>
    <t>MHL</t>
  </si>
  <si>
    <t>Marshall Islands (the)</t>
  </si>
  <si>
    <t>MLT</t>
  </si>
  <si>
    <t>Malta</t>
  </si>
  <si>
    <t>MLI</t>
  </si>
  <si>
    <t>Mali</t>
  </si>
  <si>
    <t>MDV</t>
  </si>
  <si>
    <t>Maldives</t>
  </si>
  <si>
    <t>MYS</t>
  </si>
  <si>
    <t>Malaysia</t>
  </si>
  <si>
    <t>MWI</t>
  </si>
  <si>
    <t>Malawi</t>
  </si>
  <si>
    <t>MDG</t>
  </si>
  <si>
    <t>Madagascar</t>
  </si>
  <si>
    <t>MAC</t>
  </si>
  <si>
    <t>Macao</t>
  </si>
  <si>
    <t>LUX</t>
  </si>
  <si>
    <t>Luxembourg</t>
  </si>
  <si>
    <t>LTU</t>
  </si>
  <si>
    <t>Lithuania</t>
  </si>
  <si>
    <t>LIE</t>
  </si>
  <si>
    <t>Liechtenstein</t>
  </si>
  <si>
    <t>LBY</t>
  </si>
  <si>
    <t>Libya</t>
  </si>
  <si>
    <t>LBR</t>
  </si>
  <si>
    <t>Liberia</t>
  </si>
  <si>
    <t>LSO</t>
  </si>
  <si>
    <t>Lesotho</t>
  </si>
  <si>
    <t>LBN</t>
  </si>
  <si>
    <t>Lebanon</t>
  </si>
  <si>
    <t>LVA</t>
  </si>
  <si>
    <t>Latvia</t>
  </si>
  <si>
    <t>LAO</t>
  </si>
  <si>
    <t>Lao People's Democratic Republic (the)</t>
  </si>
  <si>
    <t>KGZ</t>
  </si>
  <si>
    <t>Kyrgyzstan</t>
  </si>
  <si>
    <t>KWT</t>
  </si>
  <si>
    <t>Kuwait</t>
  </si>
  <si>
    <t>KOR</t>
  </si>
  <si>
    <t>Korea (the Republic of)</t>
  </si>
  <si>
    <t>PRK</t>
  </si>
  <si>
    <t>Korea (the Democratic People's Republic of)</t>
  </si>
  <si>
    <t>KIR</t>
  </si>
  <si>
    <t>Kiribati</t>
  </si>
  <si>
    <t>KEN</t>
  </si>
  <si>
    <t>Kenya</t>
  </si>
  <si>
    <t>KAZ</t>
  </si>
  <si>
    <t>Kazakhstan</t>
  </si>
  <si>
    <t>JOR</t>
  </si>
  <si>
    <t>Jordan</t>
  </si>
  <si>
    <t>JEY</t>
  </si>
  <si>
    <t>Jersey</t>
  </si>
  <si>
    <t>JPN</t>
  </si>
  <si>
    <t>Japan</t>
  </si>
  <si>
    <t>JAM</t>
  </si>
  <si>
    <t>Jamaica</t>
  </si>
  <si>
    <t>ITA</t>
  </si>
  <si>
    <t>Italy</t>
  </si>
  <si>
    <t>ISR</t>
  </si>
  <si>
    <t>Israel</t>
  </si>
  <si>
    <t>IMN</t>
  </si>
  <si>
    <t>Isle of Man</t>
  </si>
  <si>
    <t>IRL</t>
  </si>
  <si>
    <t>Ireland</t>
  </si>
  <si>
    <t>IRQ</t>
  </si>
  <si>
    <t>Iraq</t>
  </si>
  <si>
    <t>IRN</t>
  </si>
  <si>
    <t>Iran (Islamic Republic of)</t>
  </si>
  <si>
    <t>IDN</t>
  </si>
  <si>
    <t>Indonesia</t>
  </si>
  <si>
    <t>IND</t>
  </si>
  <si>
    <t>India</t>
  </si>
  <si>
    <t>ISL</t>
  </si>
  <si>
    <t>Iceland</t>
  </si>
  <si>
    <t>HUN</t>
  </si>
  <si>
    <t>Hungary</t>
  </si>
  <si>
    <t>HKG</t>
  </si>
  <si>
    <t>Hong Kong</t>
  </si>
  <si>
    <t>HND</t>
  </si>
  <si>
    <t>Honduras</t>
  </si>
  <si>
    <t>VAT</t>
  </si>
  <si>
    <t>Holy See (the)</t>
  </si>
  <si>
    <t>HMD</t>
  </si>
  <si>
    <t>Heard Island and McDonald Islands</t>
  </si>
  <si>
    <t>HTI</t>
  </si>
  <si>
    <t>Haiti</t>
  </si>
  <si>
    <t>GUY</t>
  </si>
  <si>
    <t>Guyana</t>
  </si>
  <si>
    <t>GNB</t>
  </si>
  <si>
    <t>Guinea-Bissau</t>
  </si>
  <si>
    <t>GIN</t>
  </si>
  <si>
    <t>Guinea</t>
  </si>
  <si>
    <t>GGY</t>
  </si>
  <si>
    <t>Guernsey</t>
  </si>
  <si>
    <t>GTM</t>
  </si>
  <si>
    <t>Guatemala</t>
  </si>
  <si>
    <t>GUM</t>
  </si>
  <si>
    <t>Guam</t>
  </si>
  <si>
    <t>GLP</t>
  </si>
  <si>
    <t>Guadeloupe</t>
  </si>
  <si>
    <t>GRD</t>
  </si>
  <si>
    <t>Grenada</t>
  </si>
  <si>
    <t>GRL</t>
  </si>
  <si>
    <t>Greenland</t>
  </si>
  <si>
    <t>GRC</t>
  </si>
  <si>
    <t>Greece</t>
  </si>
  <si>
    <t>GIB</t>
  </si>
  <si>
    <t>Gibraltar</t>
  </si>
  <si>
    <t>GHA</t>
  </si>
  <si>
    <t>Ghana</t>
  </si>
  <si>
    <t>DEU</t>
  </si>
  <si>
    <t>Germany</t>
  </si>
  <si>
    <t>GEO</t>
  </si>
  <si>
    <t>Georgia</t>
  </si>
  <si>
    <t>GMB</t>
  </si>
  <si>
    <t>Gambia (the)</t>
  </si>
  <si>
    <t>GAB</t>
  </si>
  <si>
    <t>Gabon</t>
  </si>
  <si>
    <t>ATF</t>
  </si>
  <si>
    <t>French Southern Territories (the)</t>
  </si>
  <si>
    <t>PYF</t>
  </si>
  <si>
    <t>French Polynesia</t>
  </si>
  <si>
    <t>GUF</t>
  </si>
  <si>
    <t>French Guiana</t>
  </si>
  <si>
    <t>FRA</t>
  </si>
  <si>
    <t>France</t>
  </si>
  <si>
    <t>FIN</t>
  </si>
  <si>
    <t>Finland</t>
  </si>
  <si>
    <t>FJI</t>
  </si>
  <si>
    <t>Fiji</t>
  </si>
  <si>
    <t>FRO</t>
  </si>
  <si>
    <t>Faroe Islands (the)</t>
  </si>
  <si>
    <t>FLK</t>
  </si>
  <si>
    <t>Falkland Islands (the) [Malvinas]</t>
  </si>
  <si>
    <t>ETH</t>
  </si>
  <si>
    <t>Ethiopia</t>
  </si>
  <si>
    <t>SWZ</t>
  </si>
  <si>
    <t>Eswatini</t>
  </si>
  <si>
    <t>EST</t>
  </si>
  <si>
    <t>Estonia</t>
  </si>
  <si>
    <t>ERI</t>
  </si>
  <si>
    <t>Eritrea</t>
  </si>
  <si>
    <t>GNQ</t>
  </si>
  <si>
    <t>Equatorial Guinea</t>
  </si>
  <si>
    <t>SLV</t>
  </si>
  <si>
    <t>El Salvador</t>
  </si>
  <si>
    <t>EGY</t>
  </si>
  <si>
    <t>Egypt</t>
  </si>
  <si>
    <t>ECU</t>
  </si>
  <si>
    <t>Ecuador</t>
  </si>
  <si>
    <t>DOM</t>
  </si>
  <si>
    <t>Dominican Republic (the)</t>
  </si>
  <si>
    <t>DMA</t>
  </si>
  <si>
    <t>Dominica</t>
  </si>
  <si>
    <t>DJI</t>
  </si>
  <si>
    <t>Djibouti</t>
  </si>
  <si>
    <t>DNK</t>
  </si>
  <si>
    <t>Denmark</t>
  </si>
  <si>
    <t>CIV</t>
  </si>
  <si>
    <t>Côte d'Ivoire</t>
  </si>
  <si>
    <t>CZE</t>
  </si>
  <si>
    <t>Czechia</t>
  </si>
  <si>
    <t>CYP</t>
  </si>
  <si>
    <t>Cyprus</t>
  </si>
  <si>
    <t>CUW</t>
  </si>
  <si>
    <t>Curaçao</t>
  </si>
  <si>
    <t>CUB</t>
  </si>
  <si>
    <t>Cuba</t>
  </si>
  <si>
    <t>HRV</t>
  </si>
  <si>
    <t>Croatia</t>
  </si>
  <si>
    <t>CRI</t>
  </si>
  <si>
    <t>Costa Rica</t>
  </si>
  <si>
    <t>COK</t>
  </si>
  <si>
    <t>Cook Islands (the)</t>
  </si>
  <si>
    <t>COG</t>
  </si>
  <si>
    <t>Congo (the)</t>
  </si>
  <si>
    <t>COD</t>
  </si>
  <si>
    <t>Congo (the Democratic Republic of the)</t>
  </si>
  <si>
    <t>COM</t>
  </si>
  <si>
    <t>Comoros (the)</t>
  </si>
  <si>
    <t>COL</t>
  </si>
  <si>
    <t>Colombia</t>
  </si>
  <si>
    <t>CCK</t>
  </si>
  <si>
    <t>Cocos (Keeling) Islands (the)</t>
  </si>
  <si>
    <t>CXR</t>
  </si>
  <si>
    <t>Christmas Island</t>
  </si>
  <si>
    <t>CHN</t>
  </si>
  <si>
    <t>China</t>
  </si>
  <si>
    <t>CHL</t>
  </si>
  <si>
    <t>Chile</t>
  </si>
  <si>
    <t>TCD</t>
  </si>
  <si>
    <t>Chad</t>
  </si>
  <si>
    <t>CAF</t>
  </si>
  <si>
    <t>Central African Republic (the)</t>
  </si>
  <si>
    <t>CYM</t>
  </si>
  <si>
    <t>Cayman Islands (the)</t>
  </si>
  <si>
    <t>CAN</t>
  </si>
  <si>
    <t>Canada</t>
  </si>
  <si>
    <t>CMR</t>
  </si>
  <si>
    <t>Cameroon</t>
  </si>
  <si>
    <t>KHM</t>
  </si>
  <si>
    <t>Cambodia</t>
  </si>
  <si>
    <t>CPV</t>
  </si>
  <si>
    <t>Cabo Verde</t>
  </si>
  <si>
    <t>BDI</t>
  </si>
  <si>
    <t>Burundi</t>
  </si>
  <si>
    <t>BFA</t>
  </si>
  <si>
    <t>Burkina Faso</t>
  </si>
  <si>
    <t>BGR</t>
  </si>
  <si>
    <t>Bulgaria</t>
  </si>
  <si>
    <t>BRN</t>
  </si>
  <si>
    <t>Brunei Darussalam</t>
  </si>
  <si>
    <t>IOT</t>
  </si>
  <si>
    <t>British Indian Ocean Territory (the)</t>
  </si>
  <si>
    <t>BRA</t>
  </si>
  <si>
    <t>Brazil</t>
  </si>
  <si>
    <t>BVT</t>
  </si>
  <si>
    <t>Bouvet Island</t>
  </si>
  <si>
    <t>BWA</t>
  </si>
  <si>
    <t>Botswana</t>
  </si>
  <si>
    <t>BIH</t>
  </si>
  <si>
    <t>Bosnia and Herzegovina</t>
  </si>
  <si>
    <t>BES</t>
  </si>
  <si>
    <t>Bonaire, Sint Eustatius and Saba</t>
  </si>
  <si>
    <t>BOL</t>
  </si>
  <si>
    <t>Bolivia (Plurinational State of)</t>
  </si>
  <si>
    <t>BTN</t>
  </si>
  <si>
    <t>Bhutan</t>
  </si>
  <si>
    <t>BMU</t>
  </si>
  <si>
    <t>Bermuda</t>
  </si>
  <si>
    <t>BEN</t>
  </si>
  <si>
    <t>Benin</t>
  </si>
  <si>
    <t>BLZ</t>
  </si>
  <si>
    <t>Belize</t>
  </si>
  <si>
    <t>BEL</t>
  </si>
  <si>
    <t>Belgium</t>
  </si>
  <si>
    <t>BLR</t>
  </si>
  <si>
    <t>Belarus</t>
  </si>
  <si>
    <t>BRB</t>
  </si>
  <si>
    <t>Barbados</t>
  </si>
  <si>
    <t>BGD</t>
  </si>
  <si>
    <t>Bangladesh</t>
  </si>
  <si>
    <t>BHR</t>
  </si>
  <si>
    <t>Bahrain</t>
  </si>
  <si>
    <t>BHS</t>
  </si>
  <si>
    <t>Bahamas (The)</t>
  </si>
  <si>
    <t>AZE</t>
  </si>
  <si>
    <t>Azerbaijan</t>
  </si>
  <si>
    <t>AUT</t>
  </si>
  <si>
    <t>Austria</t>
  </si>
  <si>
    <t>AUS</t>
  </si>
  <si>
    <t>Australia</t>
  </si>
  <si>
    <t>ABW</t>
  </si>
  <si>
    <t>Aruba</t>
  </si>
  <si>
    <t>ARM</t>
  </si>
  <si>
    <t>Armenia</t>
  </si>
  <si>
    <t>ARG</t>
  </si>
  <si>
    <t>Argentina</t>
  </si>
  <si>
    <t>ATG</t>
  </si>
  <si>
    <t>Antigua and Barbuda</t>
  </si>
  <si>
    <t>ATA</t>
  </si>
  <si>
    <t>Antarctica</t>
  </si>
  <si>
    <t>AIA</t>
  </si>
  <si>
    <t>Anguilla</t>
  </si>
  <si>
    <t>AGO</t>
  </si>
  <si>
    <t>Angola</t>
  </si>
  <si>
    <t>AND</t>
  </si>
  <si>
    <t>Andorra</t>
  </si>
  <si>
    <t>ASM</t>
  </si>
  <si>
    <t>American Samoa</t>
  </si>
  <si>
    <t>DZA</t>
  </si>
  <si>
    <t>Algeria</t>
  </si>
  <si>
    <t>ALB</t>
  </si>
  <si>
    <t>Albania</t>
  </si>
  <si>
    <t>AFG</t>
  </si>
  <si>
    <t>Afghanistan</t>
  </si>
  <si>
    <t>ISO Country Code</t>
  </si>
  <si>
    <t>Country Name</t>
  </si>
  <si>
    <t>Agency management fee (April)</t>
  </si>
  <si>
    <t>Landlord insurance premium (May)</t>
  </si>
  <si>
    <t>Mortgage interest payment (June)</t>
  </si>
  <si>
    <t>Mortgage interest payment (April)</t>
  </si>
  <si>
    <t>Electricity bill (May)</t>
  </si>
  <si>
    <t>Boiler service (June)</t>
  </si>
  <si>
    <t>Council tax (July)</t>
  </si>
  <si>
    <t>Foreign tax paid (August)</t>
  </si>
  <si>
    <t>Mortgage interest payment (September)</t>
  </si>
  <si>
    <t>Foreign tax paid (October)</t>
  </si>
  <si>
    <t>Electricity bill (November)</t>
  </si>
  <si>
    <t>Boiler service (January)</t>
  </si>
  <si>
    <t>Electrical safety check (February)</t>
  </si>
  <si>
    <t>Mortgage interest payment (March)</t>
  </si>
  <si>
    <t>Cleaning between lets (January)</t>
  </si>
  <si>
    <t>Landlord insurance premium (February)</t>
  </si>
  <si>
    <t>Rent received - Spain Property  (April)</t>
  </si>
  <si>
    <t>Rent received - Portugal Property (April)</t>
  </si>
  <si>
    <t>Rent received - Spain Property(October)</t>
  </si>
  <si>
    <t>Rent received - Spain Property (January)</t>
  </si>
  <si>
    <t>Rent received - Portugal Property (November)</t>
  </si>
  <si>
    <t>Rent received - Spain Property (September)</t>
  </si>
  <si>
    <t>Rent received - Spain Property  (August)</t>
  </si>
  <si>
    <t>Rent received - Portugal Property  (July)</t>
  </si>
  <si>
    <t>Rent received - Portugal Property  (June)</t>
  </si>
  <si>
    <t>Rent received - Portugal Property  (May)</t>
  </si>
  <si>
    <t>Rent received - Spain Property  (July)</t>
  </si>
  <si>
    <t>Rent received - Spain Property  (June)</t>
  </si>
  <si>
    <t>Rent received - Spain Property  (May)</t>
  </si>
  <si>
    <t>Rent received - Spain Property (February)</t>
  </si>
  <si>
    <t>Rent received - Spain Property (March)</t>
  </si>
  <si>
    <t>Rent received - Portugal Property (January)</t>
  </si>
  <si>
    <t>Rent received - Portugal Property (February)</t>
  </si>
  <si>
    <t>Rent received - Portugal Property (March)</t>
  </si>
  <si>
    <t>Type</t>
  </si>
  <si>
    <t>Property rental income</t>
  </si>
  <si>
    <t>Residential finance cost tax reduction</t>
  </si>
  <si>
    <t>Amount</t>
  </si>
  <si>
    <t>Expense</t>
  </si>
  <si>
    <t>Profit</t>
  </si>
  <si>
    <t>Total expenses</t>
  </si>
  <si>
    <t>Q1</t>
  </si>
  <si>
    <t>Q1 + Q2</t>
  </si>
  <si>
    <t>Q1 + Q2 + Q3</t>
  </si>
  <si>
    <t>Q1 + Q2 + Q3 + Q4</t>
  </si>
  <si>
    <t>Income (cumulative)</t>
  </si>
  <si>
    <t>Expense (cumulative)</t>
  </si>
  <si>
    <t>Country 1 - Spain (ESP)</t>
  </si>
  <si>
    <t>Country 2 - Portugal (PRT)</t>
  </si>
  <si>
    <t>Country 1: Spain (ESP)</t>
  </si>
  <si>
    <t>Country 2: Portugal (PRT)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</si>
</sst>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£&quot;* #,##0.00_);_(&quot;£&quot;* \(#,##0.00\);_(&quot;£&quot;* &quot;-&quot;??_);_(@_)"/>
    <numFmt numFmtId="164" formatCode="[$£-809]#,##0.00"/>
    <numFmt numFmtId="165" formatCode="\£#,##0.00;\-\£#,##0.00;&quot;-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Noto Sans Symbols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3"/>
      <color rgb="FF333333"/>
      <name val="MetaWebPro"/>
    </font>
    <font>
      <b/>
      <sz val="13"/>
      <color rgb="FF333333"/>
      <name val="MetaWebPro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</cellStyleXfs>
  <cellXfs count="76">
    <xf numFmtId="0" fontId="0" fillId="0" borderId="0" xfId="0"/>
    <xf numFmtId="0" fontId="3" fillId="0" borderId="0" xfId="3"/>
    <xf numFmtId="0" fontId="4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4" fontId="6" fillId="4" borderId="1" xfId="3" applyNumberFormat="1" applyFont="1" applyFill="1" applyBorder="1"/>
    <xf numFmtId="0" fontId="4" fillId="0" borderId="0" xfId="3" applyFont="1"/>
    <xf numFmtId="0" fontId="7" fillId="0" borderId="0" xfId="3" applyFont="1"/>
    <xf numFmtId="0" fontId="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11" fillId="0" borderId="0" xfId="3" applyFont="1"/>
    <xf numFmtId="0" fontId="12" fillId="0" borderId="0" xfId="3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3" borderId="0" xfId="2" applyFont="1"/>
    <xf numFmtId="14" fontId="13" fillId="5" borderId="0" xfId="2" applyNumberFormat="1" applyFont="1" applyFill="1"/>
    <xf numFmtId="0" fontId="13" fillId="5" borderId="0" xfId="2" applyFont="1" applyFill="1"/>
    <xf numFmtId="14" fontId="13" fillId="3" borderId="0" xfId="2" applyNumberFormat="1" applyFont="1"/>
    <xf numFmtId="0" fontId="13" fillId="3" borderId="0" xfId="2" applyFont="1"/>
    <xf numFmtId="164" fontId="13" fillId="5" borderId="0" xfId="2" applyNumberFormat="1" applyFont="1" applyFill="1"/>
    <xf numFmtId="164" fontId="13" fillId="3" borderId="0" xfId="2" applyNumberFormat="1" applyFont="1"/>
    <xf numFmtId="0" fontId="15" fillId="2" borderId="0" xfId="1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 wrapText="1"/>
    </xf>
    <xf numFmtId="165" fontId="13" fillId="0" borderId="0" xfId="0" applyNumberFormat="1" applyFont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3" fillId="0" borderId="8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4" fontId="13" fillId="0" borderId="9" xfId="0" applyNumberFormat="1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 wrapText="1"/>
    </xf>
    <xf numFmtId="164" fontId="13" fillId="0" borderId="10" xfId="0" applyNumberFormat="1" applyFont="1" applyBorder="1" applyAlignment="1">
      <alignment horizontal="right" wrapText="1"/>
    </xf>
    <xf numFmtId="0" fontId="13" fillId="0" borderId="11" xfId="0" applyFont="1" applyBorder="1" applyAlignment="1">
      <alignment vertical="center" wrapText="1"/>
    </xf>
    <xf numFmtId="164" fontId="13" fillId="0" borderId="16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44" fontId="13" fillId="0" borderId="0" xfId="0" applyNumberFormat="1" applyFont="1"/>
    <xf numFmtId="165" fontId="13" fillId="0" borderId="2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5" fontId="13" fillId="0" borderId="9" xfId="0" applyNumberFormat="1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164" fontId="13" fillId="0" borderId="3" xfId="0" applyNumberFormat="1" applyFont="1" applyBorder="1" applyAlignment="1">
      <alignment horizontal="center"/>
    </xf>
    <xf numFmtId="0" fontId="14" fillId="0" borderId="15" xfId="0" applyFont="1" applyBorder="1" applyAlignment="1">
      <alignment horizontal="left" wrapText="1"/>
    </xf>
    <xf numFmtId="0" fontId="14" fillId="0" borderId="15" xfId="0" applyFont="1" applyBorder="1" applyAlignment="1">
      <alignment horizontal="center" wrapText="1"/>
    </xf>
    <xf numFmtId="0" fontId="13" fillId="0" borderId="17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64" fontId="13" fillId="0" borderId="16" xfId="0" applyNumberFormat="1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8" fillId="0" borderId="0" xfId="3" applyFont="1" applyAlignment="1">
      <alignment horizontal="left" vertical="center" wrapText="1"/>
    </xf>
    <xf numFmtId="0" fontId="3" fillId="0" borderId="0" xfId="3"/>
    <xf numFmtId="0" fontId="8" fillId="0" borderId="0" xfId="3" applyFont="1" applyAlignment="1">
      <alignment horizontal="left" wrapText="1"/>
    </xf>
    <xf numFmtId="0" fontId="14" fillId="0" borderId="6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4">
    <cellStyle name="20% - Accent1" xfId="2" builtinId="30"/>
    <cellStyle name="Accent1" xfId="1" builtinId="29"/>
    <cellStyle name="Normal" xfId="0" builtinId="0"/>
    <cellStyle name="Normal 2" xfId="3" xr:uid="{B2C4AA7A-55A2-4BB4-9099-F142763DF496}"/>
  </cellStyles>
  <dxfs count="9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ptos Narrow"/>
        <family val="2"/>
        <scheme val="none"/>
      </font>
    </dxf>
  </dxfs>
  <tableStyles count="0" defaultTableStyle="TableStyleMedium9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91440</xdr:colOff>
      <xdr:row>8</xdr:row>
      <xdr:rowOff>381000</xdr:rowOff>
    </xdr:from>
    <xdr:ext cx="1394460" cy="365760"/>
    <xdr:pic>
      <xdr:nvPicPr>
        <xdr:cNvPr id="2" name="image1.png">
          <a:extLst>
            <a:ext uri="{FF2B5EF4-FFF2-40B4-BE49-F238E27FC236}">
              <a16:creationId xmlns:a16="http://schemas.microsoft.com/office/drawing/2014/main" id="{D89719C4-4273-4F14-9916-3C7388E523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1508760"/>
          <a:ext cx="1394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A15A0A-D959-484A-8030-F4F4EE952510}" name="Table2" displayName="Table2" ref="A1:G36" totalsRowShown="0" headerRowDxfId="8" dataDxfId="7" headerRowCellStyle="Accent1" dataCellStyle="20% - Accent1">
  <autoFilter ref="A1:G36" xr:uid="{33A15A0A-D959-484A-8030-F4F4EE952510}"/>
  <tableColumns count="7">
    <tableColumn id="1" xr3:uid="{FF3AF632-674F-4CD6-AFC8-6A859DB6CD29}" name="Date" dataDxfId="6" dataCellStyle="20% - Accent1"/>
    <tableColumn id="2" xr3:uid="{A0BF264E-5923-4A51-BAF4-756A6C67B776}" name="Country" dataDxfId="5" dataCellStyle="20% - Accent1"/>
    <tableColumn id="3" xr3:uid="{7925F17C-22E8-4B2C-BCF5-BE0BD97DAEE3}" name="Description" dataDxfId="4" dataCellStyle="20% - Accent1"/>
    <tableColumn id="8" xr3:uid="{4F45DC70-1FFD-4776-9CB9-5AAB7C2A7C40}" name="Type" dataDxfId="3" dataCellStyle="20% - Accent1"/>
    <tableColumn id="5" xr3:uid="{0F4BFDF8-7019-42A7-AB03-D8BF3BDB929C}" name="Category" dataDxfId="2" dataCellStyle="20% - Accent1"/>
    <tableColumn id="6" xr3:uid="{E1E5FDB5-FCCC-4F25-A2EA-8317090A6A78}" name="FX Rate" dataDxfId="1" dataCellStyle="20% - Accent1"/>
    <tableColumn id="7" xr3:uid="{0C7D0A0A-1158-4690-A602-B54634990F42}" name="Amount" dataDxfId="0" dataCellStyle="20% - Accent1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265F-8827-4029-B504-55C87501CD67}">
  <dimension ref="A1:Y1000"/>
  <sheetViews>
    <sheetView showGridLines="0" tabSelected="1" workbookViewId="0">
      <selection activeCell="D4" sqref="D4"/>
    </sheetView>
  </sheetViews>
  <sheetFormatPr baseColWidth="10" defaultColWidth="12.6640625" defaultRowHeight="15" customHeight="1"/>
  <cols>
    <col min="1" max="1" width="33" style="1" bestFit="1" customWidth="1"/>
    <col min="2" max="2" width="17.33203125" style="1" customWidth="1"/>
    <col min="3" max="3" width="5.6640625" style="1" customWidth="1"/>
    <col min="4" max="4" width="17.33203125" style="1" customWidth="1"/>
    <col min="5" max="5" width="5.6640625" style="1" customWidth="1"/>
    <col min="6" max="6" width="17.33203125" style="1" customWidth="1"/>
    <col min="7" max="7" width="5.6640625" style="1" customWidth="1"/>
    <col min="8" max="8" width="17.5" style="1" customWidth="1"/>
    <col min="9" max="9" width="5.6640625" style="1" customWidth="1"/>
    <col min="10" max="10" width="15.5" style="1" customWidth="1"/>
    <col min="11" max="12" width="5.6640625" style="1" customWidth="1"/>
    <col min="13" max="13" width="3.5" style="1" customWidth="1"/>
    <col min="14" max="25" width="12.6640625" style="1" customWidth="1"/>
    <col min="26" max="16384" width="12.6640625" style="1"/>
  </cols>
  <sheetData>
    <row r="1" spans="1:25" ht="30" customHeight="1" thickBot="1">
      <c r="A1" s="13" t="s">
        <v>18</v>
      </c>
      <c r="B1" s="12" t="s">
        <v>42</v>
      </c>
      <c r="C1" s="14"/>
      <c r="D1" s="12" t="s">
        <v>41</v>
      </c>
      <c r="E1" s="12"/>
      <c r="F1" s="12" t="s">
        <v>40</v>
      </c>
      <c r="G1" s="14"/>
      <c r="H1" s="12" t="s">
        <v>39</v>
      </c>
      <c r="I1" s="14"/>
      <c r="J1" s="12" t="s">
        <v>38</v>
      </c>
      <c r="K1" s="14"/>
      <c r="L1" s="14"/>
      <c r="M1" s="13" t="s">
        <v>37</v>
      </c>
      <c r="N1" s="12"/>
      <c r="O1" s="11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30" customHeight="1" thickBot="1">
      <c r="A2" s="5" t="s">
        <v>36</v>
      </c>
      <c r="B2" s="4" t="s">
        <v>5</v>
      </c>
      <c r="C2" s="5"/>
      <c r="D2" s="4" t="s">
        <v>17</v>
      </c>
      <c r="E2" s="5"/>
      <c r="F2" s="4"/>
      <c r="G2" s="5"/>
      <c r="H2" s="4"/>
      <c r="I2" s="5"/>
      <c r="J2" s="4"/>
      <c r="K2" s="5"/>
      <c r="L2" s="5"/>
      <c r="M2" s="9" t="s">
        <v>35</v>
      </c>
      <c r="N2" s="8" t="s">
        <v>34</v>
      </c>
      <c r="O2" s="7"/>
    </row>
    <row r="3" spans="1:25" ht="30" customHeight="1" thickBot="1">
      <c r="A3" s="6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1" t="s">
        <v>32</v>
      </c>
      <c r="N3" s="61" t="s">
        <v>31</v>
      </c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5" ht="30" customHeight="1" thickBot="1">
      <c r="A4" s="5" t="s">
        <v>19</v>
      </c>
      <c r="B4" s="4">
        <f>'C - Summary'!B3</f>
        <v>2451</v>
      </c>
      <c r="C4" s="3"/>
      <c r="D4" s="4">
        <f>'C - Summary'!H3</f>
        <v>2422.5</v>
      </c>
      <c r="E4" s="3"/>
      <c r="F4" s="4"/>
      <c r="G4" s="3"/>
      <c r="H4" s="4"/>
      <c r="I4" s="3"/>
      <c r="J4" s="4"/>
      <c r="K4" s="3"/>
      <c r="L4" s="3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5" ht="30" customHeight="1" thickBot="1">
      <c r="A5" s="5" t="s">
        <v>13</v>
      </c>
      <c r="B5" s="4"/>
      <c r="C5" s="3"/>
      <c r="D5" s="4"/>
      <c r="E5" s="3"/>
      <c r="F5" s="4"/>
      <c r="G5" s="3"/>
      <c r="H5" s="4"/>
      <c r="I5" s="3"/>
      <c r="J5" s="4"/>
      <c r="K5" s="3"/>
      <c r="L5" s="3"/>
      <c r="M5" s="9" t="s">
        <v>30</v>
      </c>
      <c r="N5" s="8" t="s">
        <v>29</v>
      </c>
      <c r="O5" s="7"/>
    </row>
    <row r="6" spans="1:25" ht="30" customHeight="1" thickBot="1">
      <c r="A6" s="5" t="s">
        <v>20</v>
      </c>
      <c r="B6" s="4"/>
      <c r="C6" s="3"/>
      <c r="D6" s="4"/>
      <c r="E6" s="3"/>
      <c r="F6" s="4"/>
      <c r="G6" s="3"/>
      <c r="H6" s="4"/>
      <c r="I6" s="3"/>
      <c r="J6" s="4"/>
      <c r="K6" s="3"/>
      <c r="L6" s="3"/>
      <c r="M6" s="9" t="s">
        <v>28</v>
      </c>
      <c r="N6" s="8" t="s">
        <v>27</v>
      </c>
      <c r="O6" s="7"/>
    </row>
    <row r="7" spans="1:25" ht="30" customHeight="1" thickBot="1">
      <c r="A7" s="5" t="s">
        <v>10</v>
      </c>
      <c r="B7" s="4"/>
      <c r="C7" s="3"/>
      <c r="D7" s="4"/>
      <c r="E7" s="3"/>
      <c r="F7" s="4"/>
      <c r="G7" s="3"/>
      <c r="H7" s="4"/>
      <c r="I7" s="3"/>
      <c r="J7" s="4"/>
      <c r="K7" s="3"/>
      <c r="L7" s="3"/>
      <c r="M7" s="63" t="s">
        <v>26</v>
      </c>
      <c r="N7" s="63" t="s">
        <v>25</v>
      </c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5" ht="30" customHeight="1" thickBot="1">
      <c r="A8" s="5" t="s">
        <v>21</v>
      </c>
      <c r="B8" s="4"/>
      <c r="C8" s="3"/>
      <c r="D8" s="4"/>
      <c r="E8" s="3"/>
      <c r="F8" s="4"/>
      <c r="G8" s="3"/>
      <c r="H8" s="4"/>
      <c r="I8" s="3"/>
      <c r="J8" s="4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5" ht="30" customHeight="1">
      <c r="A9" s="5"/>
      <c r="B9" s="5"/>
      <c r="C9" s="3"/>
      <c r="D9" s="5"/>
      <c r="E9" s="3"/>
      <c r="F9" s="5"/>
      <c r="G9" s="3"/>
      <c r="H9" s="5"/>
      <c r="I9" s="3"/>
      <c r="J9" s="5"/>
      <c r="K9" s="3"/>
      <c r="L9" s="3"/>
      <c r="M9" s="3"/>
    </row>
    <row r="10" spans="1:25" ht="30" customHeight="1" thickBot="1">
      <c r="A10" s="6" t="s">
        <v>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3"/>
    </row>
    <row r="11" spans="1:25" ht="30" customHeight="1" thickBot="1">
      <c r="A11" s="5" t="s">
        <v>7</v>
      </c>
      <c r="B11" s="4"/>
      <c r="C11" s="3"/>
      <c r="D11" s="4"/>
      <c r="E11" s="3"/>
      <c r="F11" s="4"/>
      <c r="G11" s="3"/>
      <c r="H11" s="4"/>
      <c r="I11" s="3"/>
      <c r="J11" s="4"/>
      <c r="K11" s="3"/>
      <c r="L11" s="3"/>
      <c r="M11" s="2"/>
    </row>
    <row r="12" spans="1:25" ht="30" customHeight="1" thickBot="1">
      <c r="A12" s="5" t="s">
        <v>9</v>
      </c>
      <c r="B12" s="4"/>
      <c r="C12" s="3"/>
      <c r="D12" s="4"/>
      <c r="E12" s="3"/>
      <c r="F12" s="4"/>
      <c r="G12" s="3"/>
      <c r="H12" s="4"/>
      <c r="I12" s="3"/>
      <c r="J12" s="4"/>
      <c r="K12" s="3"/>
      <c r="L12" s="3"/>
      <c r="M12" s="2"/>
    </row>
    <row r="13" spans="1:25" ht="30" customHeight="1" thickBot="1">
      <c r="A13" s="5" t="s">
        <v>8</v>
      </c>
      <c r="B13" s="4"/>
      <c r="C13" s="3"/>
      <c r="D13" s="4"/>
      <c r="E13" s="3"/>
      <c r="F13" s="4"/>
      <c r="G13" s="3"/>
      <c r="H13" s="4"/>
      <c r="I13" s="3"/>
      <c r="J13" s="4"/>
      <c r="K13" s="3"/>
      <c r="L13" s="3"/>
      <c r="M13" s="2"/>
    </row>
    <row r="14" spans="1:25" ht="30" customHeight="1" thickBot="1">
      <c r="A14" s="5" t="s">
        <v>12</v>
      </c>
      <c r="B14" s="4"/>
      <c r="C14" s="3"/>
      <c r="D14" s="4"/>
      <c r="E14" s="3"/>
      <c r="F14" s="4"/>
      <c r="G14" s="3"/>
      <c r="H14" s="4"/>
      <c r="I14" s="3"/>
      <c r="J14" s="4"/>
      <c r="K14" s="3"/>
      <c r="L14" s="3"/>
      <c r="M14" s="2"/>
    </row>
    <row r="15" spans="1:25" ht="30" customHeight="1" thickBot="1">
      <c r="A15" s="5" t="s">
        <v>14</v>
      </c>
      <c r="B15" s="4"/>
      <c r="C15" s="3"/>
      <c r="D15" s="4"/>
      <c r="E15" s="3"/>
      <c r="F15" s="4"/>
      <c r="G15" s="3"/>
      <c r="H15" s="4"/>
      <c r="I15" s="3"/>
      <c r="J15" s="4"/>
      <c r="K15" s="3"/>
      <c r="L15" s="3"/>
      <c r="M15" s="2"/>
    </row>
    <row r="16" spans="1:25" ht="30" customHeight="1" thickBot="1">
      <c r="A16" s="5" t="s">
        <v>11</v>
      </c>
      <c r="B16" s="4"/>
      <c r="C16" s="3"/>
      <c r="D16" s="4"/>
      <c r="E16" s="3"/>
      <c r="F16" s="4"/>
      <c r="G16" s="3"/>
      <c r="H16" s="4"/>
      <c r="I16" s="3"/>
      <c r="J16" s="4"/>
      <c r="K16" s="3"/>
      <c r="L16" s="3"/>
      <c r="M16" s="2"/>
    </row>
    <row r="17" spans="1:13" ht="30" customHeight="1" thickBot="1">
      <c r="A17" s="5" t="s">
        <v>6</v>
      </c>
      <c r="B17" s="4"/>
      <c r="C17" s="3"/>
      <c r="D17" s="4"/>
      <c r="E17" s="3"/>
      <c r="F17" s="4"/>
      <c r="G17" s="3"/>
      <c r="H17" s="4"/>
      <c r="I17" s="3"/>
      <c r="J17" s="4"/>
      <c r="K17" s="3"/>
      <c r="L17" s="3"/>
      <c r="M17" s="2"/>
    </row>
    <row r="18" spans="1:13" ht="30" customHeight="1" thickBot="1">
      <c r="A18" s="5" t="s">
        <v>15</v>
      </c>
      <c r="B18" s="4"/>
      <c r="C18" s="3"/>
      <c r="D18" s="4"/>
      <c r="E18" s="3"/>
      <c r="F18" s="4"/>
      <c r="G18" s="3"/>
      <c r="H18" s="4"/>
      <c r="I18" s="3"/>
      <c r="J18" s="4"/>
      <c r="K18" s="3"/>
      <c r="L18" s="3"/>
      <c r="M18" s="2"/>
    </row>
    <row r="19" spans="1:13" ht="30" customHeight="1" thickBot="1">
      <c r="A19" s="5" t="s">
        <v>23</v>
      </c>
      <c r="B19" s="4"/>
      <c r="C19" s="3"/>
      <c r="D19" s="4"/>
      <c r="E19" s="3"/>
      <c r="F19" s="4"/>
      <c r="G19" s="3"/>
      <c r="H19" s="4"/>
      <c r="I19" s="3"/>
      <c r="J19" s="4"/>
      <c r="K19" s="3"/>
      <c r="L19" s="3"/>
      <c r="M19" s="2"/>
    </row>
    <row r="20" spans="1:13" ht="30" customHeight="1" thickBot="1">
      <c r="A20" s="5" t="s">
        <v>22</v>
      </c>
      <c r="B20" s="4">
        <f>'C - Summary'!B4</f>
        <v>685.42000000000007</v>
      </c>
      <c r="C20" s="3"/>
      <c r="D20" s="4">
        <f>'C - Summary'!H4</f>
        <v>505.75</v>
      </c>
      <c r="E20" s="3"/>
      <c r="F20" s="4"/>
      <c r="G20" s="3"/>
      <c r="H20" s="4"/>
      <c r="I20" s="3"/>
      <c r="J20" s="4"/>
      <c r="K20" s="3"/>
      <c r="L20" s="3"/>
      <c r="M20" s="2"/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M3:M4"/>
    <mergeCell ref="N3:X4"/>
    <mergeCell ref="M7:M8"/>
    <mergeCell ref="N7:X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052C-60F5-4E35-8DB9-E2ABD5652F82}">
  <dimension ref="A1:B1000"/>
  <sheetViews>
    <sheetView workbookViewId="0">
      <selection activeCell="B196" sqref="B196"/>
    </sheetView>
  </sheetViews>
  <sheetFormatPr baseColWidth="10" defaultColWidth="12.6640625" defaultRowHeight="15" customHeight="1"/>
  <cols>
    <col min="1" max="1" width="56" style="1" customWidth="1"/>
    <col min="2" max="2" width="20" style="1" customWidth="1"/>
    <col min="3" max="26" width="10" style="1" customWidth="1"/>
    <col min="27" max="16384" width="12.6640625" style="1"/>
  </cols>
  <sheetData>
    <row r="1" spans="1:2" ht="16.5" customHeight="1">
      <c r="A1" s="16" t="s">
        <v>540</v>
      </c>
      <c r="B1" s="16" t="s">
        <v>539</v>
      </c>
    </row>
    <row r="2" spans="1:2" ht="16.5" customHeight="1">
      <c r="A2" s="15" t="s">
        <v>538</v>
      </c>
      <c r="B2" s="15" t="s">
        <v>537</v>
      </c>
    </row>
    <row r="3" spans="1:2" ht="16.5" customHeight="1">
      <c r="A3" s="15" t="s">
        <v>536</v>
      </c>
      <c r="B3" s="15" t="s">
        <v>535</v>
      </c>
    </row>
    <row r="4" spans="1:2" ht="16.5" customHeight="1">
      <c r="A4" s="15" t="s">
        <v>534</v>
      </c>
      <c r="B4" s="15" t="s">
        <v>533</v>
      </c>
    </row>
    <row r="5" spans="1:2" ht="16.5" customHeight="1">
      <c r="A5" s="15" t="s">
        <v>532</v>
      </c>
      <c r="B5" s="15" t="s">
        <v>531</v>
      </c>
    </row>
    <row r="6" spans="1:2" ht="16.5" customHeight="1">
      <c r="A6" s="15" t="s">
        <v>530</v>
      </c>
      <c r="B6" s="15" t="s">
        <v>529</v>
      </c>
    </row>
    <row r="7" spans="1:2" ht="16.5" customHeight="1">
      <c r="A7" s="15" t="s">
        <v>528</v>
      </c>
      <c r="B7" s="15" t="s">
        <v>527</v>
      </c>
    </row>
    <row r="8" spans="1:2" ht="16.5" customHeight="1">
      <c r="A8" s="15" t="s">
        <v>526</v>
      </c>
      <c r="B8" s="15" t="s">
        <v>525</v>
      </c>
    </row>
    <row r="9" spans="1:2" ht="16.5" customHeight="1">
      <c r="A9" s="15" t="s">
        <v>524</v>
      </c>
      <c r="B9" s="15" t="s">
        <v>523</v>
      </c>
    </row>
    <row r="10" spans="1:2" ht="16.5" customHeight="1">
      <c r="A10" s="15" t="s">
        <v>522</v>
      </c>
      <c r="B10" s="15" t="s">
        <v>521</v>
      </c>
    </row>
    <row r="11" spans="1:2" ht="16.5" customHeight="1">
      <c r="A11" s="15" t="s">
        <v>520</v>
      </c>
      <c r="B11" s="15" t="s">
        <v>519</v>
      </c>
    </row>
    <row r="12" spans="1:2" ht="16.5" customHeight="1">
      <c r="A12" s="15" t="s">
        <v>518</v>
      </c>
      <c r="B12" s="15" t="s">
        <v>517</v>
      </c>
    </row>
    <row r="13" spans="1:2" ht="16.5" customHeight="1">
      <c r="A13" s="15" t="s">
        <v>516</v>
      </c>
      <c r="B13" s="15" t="s">
        <v>515</v>
      </c>
    </row>
    <row r="14" spans="1:2" ht="16.5" customHeight="1">
      <c r="A14" s="15" t="s">
        <v>514</v>
      </c>
      <c r="B14" s="15" t="s">
        <v>513</v>
      </c>
    </row>
    <row r="15" spans="1:2" ht="16.5" customHeight="1">
      <c r="A15" s="15" t="s">
        <v>512</v>
      </c>
      <c r="B15" s="15" t="s">
        <v>511</v>
      </c>
    </row>
    <row r="16" spans="1:2" ht="16.5" customHeight="1">
      <c r="A16" s="15" t="s">
        <v>510</v>
      </c>
      <c r="B16" s="15" t="s">
        <v>509</v>
      </c>
    </row>
    <row r="17" spans="1:2" ht="16.5" customHeight="1">
      <c r="A17" s="15" t="s">
        <v>508</v>
      </c>
      <c r="B17" s="15" t="s">
        <v>507</v>
      </c>
    </row>
    <row r="18" spans="1:2" ht="16.5" customHeight="1">
      <c r="A18" s="15" t="s">
        <v>506</v>
      </c>
      <c r="B18" s="15" t="s">
        <v>505</v>
      </c>
    </row>
    <row r="19" spans="1:2" ht="16.5" customHeight="1">
      <c r="A19" s="15" t="s">
        <v>504</v>
      </c>
      <c r="B19" s="15" t="s">
        <v>503</v>
      </c>
    </row>
    <row r="20" spans="1:2" ht="16.5" customHeight="1">
      <c r="A20" s="15" t="s">
        <v>502</v>
      </c>
      <c r="B20" s="15" t="s">
        <v>501</v>
      </c>
    </row>
    <row r="21" spans="1:2" ht="16.5" customHeight="1">
      <c r="A21" s="15" t="s">
        <v>500</v>
      </c>
      <c r="B21" s="15" t="s">
        <v>499</v>
      </c>
    </row>
    <row r="22" spans="1:2" ht="16.5" customHeight="1">
      <c r="A22" s="15" t="s">
        <v>498</v>
      </c>
      <c r="B22" s="15" t="s">
        <v>497</v>
      </c>
    </row>
    <row r="23" spans="1:2" ht="16.5" customHeight="1">
      <c r="A23" s="15" t="s">
        <v>496</v>
      </c>
      <c r="B23" s="15" t="s">
        <v>495</v>
      </c>
    </row>
    <row r="24" spans="1:2" ht="16.5" customHeight="1">
      <c r="A24" s="15" t="s">
        <v>494</v>
      </c>
      <c r="B24" s="15" t="s">
        <v>493</v>
      </c>
    </row>
    <row r="25" spans="1:2" ht="16.5" customHeight="1">
      <c r="A25" s="15" t="s">
        <v>492</v>
      </c>
      <c r="B25" s="15" t="s">
        <v>491</v>
      </c>
    </row>
    <row r="26" spans="1:2" ht="16.5" customHeight="1">
      <c r="A26" s="15" t="s">
        <v>490</v>
      </c>
      <c r="B26" s="15" t="s">
        <v>489</v>
      </c>
    </row>
    <row r="27" spans="1:2" ht="16.5" customHeight="1">
      <c r="A27" s="15" t="s">
        <v>488</v>
      </c>
      <c r="B27" s="15" t="s">
        <v>487</v>
      </c>
    </row>
    <row r="28" spans="1:2" ht="16.5" customHeight="1">
      <c r="A28" s="15" t="s">
        <v>486</v>
      </c>
      <c r="B28" s="15" t="s">
        <v>485</v>
      </c>
    </row>
    <row r="29" spans="1:2" ht="16.5" customHeight="1">
      <c r="A29" s="15" t="s">
        <v>484</v>
      </c>
      <c r="B29" s="15" t="s">
        <v>483</v>
      </c>
    </row>
    <row r="30" spans="1:2" ht="16.5" customHeight="1">
      <c r="A30" s="15" t="s">
        <v>482</v>
      </c>
      <c r="B30" s="15" t="s">
        <v>481</v>
      </c>
    </row>
    <row r="31" spans="1:2" ht="16.5" customHeight="1">
      <c r="A31" s="15" t="s">
        <v>480</v>
      </c>
      <c r="B31" s="15" t="s">
        <v>479</v>
      </c>
    </row>
    <row r="32" spans="1:2" ht="16.5" customHeight="1">
      <c r="A32" s="15" t="s">
        <v>478</v>
      </c>
      <c r="B32" s="15" t="s">
        <v>477</v>
      </c>
    </row>
    <row r="33" spans="1:2" ht="16.5" customHeight="1">
      <c r="A33" s="15" t="s">
        <v>476</v>
      </c>
      <c r="B33" s="15" t="s">
        <v>475</v>
      </c>
    </row>
    <row r="34" spans="1:2" ht="16.5" customHeight="1">
      <c r="A34" s="15" t="s">
        <v>474</v>
      </c>
      <c r="B34" s="15" t="s">
        <v>473</v>
      </c>
    </row>
    <row r="35" spans="1:2" ht="16.5" customHeight="1">
      <c r="A35" s="15" t="s">
        <v>472</v>
      </c>
      <c r="B35" s="15" t="s">
        <v>471</v>
      </c>
    </row>
    <row r="36" spans="1:2" ht="16.5" customHeight="1">
      <c r="A36" s="15" t="s">
        <v>470</v>
      </c>
      <c r="B36" s="15" t="s">
        <v>469</v>
      </c>
    </row>
    <row r="37" spans="1:2" ht="16.5" customHeight="1">
      <c r="A37" s="15" t="s">
        <v>468</v>
      </c>
      <c r="B37" s="15" t="s">
        <v>467</v>
      </c>
    </row>
    <row r="38" spans="1:2" ht="16.5" customHeight="1">
      <c r="A38" s="15" t="s">
        <v>466</v>
      </c>
      <c r="B38" s="15" t="s">
        <v>465</v>
      </c>
    </row>
    <row r="39" spans="1:2" ht="16.5" customHeight="1">
      <c r="A39" s="15" t="s">
        <v>464</v>
      </c>
      <c r="B39" s="15" t="s">
        <v>463</v>
      </c>
    </row>
    <row r="40" spans="1:2" ht="16.5" customHeight="1">
      <c r="A40" s="15" t="s">
        <v>462</v>
      </c>
      <c r="B40" s="15" t="s">
        <v>461</v>
      </c>
    </row>
    <row r="41" spans="1:2" ht="16.5" customHeight="1">
      <c r="A41" s="15" t="s">
        <v>460</v>
      </c>
      <c r="B41" s="15" t="s">
        <v>459</v>
      </c>
    </row>
    <row r="42" spans="1:2" ht="16.5" customHeight="1">
      <c r="A42" s="15" t="s">
        <v>458</v>
      </c>
      <c r="B42" s="15" t="s">
        <v>457</v>
      </c>
    </row>
    <row r="43" spans="1:2" ht="16.5" customHeight="1">
      <c r="A43" s="15" t="s">
        <v>456</v>
      </c>
      <c r="B43" s="15" t="s">
        <v>455</v>
      </c>
    </row>
    <row r="44" spans="1:2" ht="16.5" customHeight="1">
      <c r="A44" s="15" t="s">
        <v>454</v>
      </c>
      <c r="B44" s="15" t="s">
        <v>453</v>
      </c>
    </row>
    <row r="45" spans="1:2" ht="16.5" customHeight="1">
      <c r="A45" s="15" t="s">
        <v>452</v>
      </c>
      <c r="B45" s="15" t="s">
        <v>451</v>
      </c>
    </row>
    <row r="46" spans="1:2" ht="16.5" customHeight="1">
      <c r="A46" s="15" t="s">
        <v>450</v>
      </c>
      <c r="B46" s="15" t="s">
        <v>449</v>
      </c>
    </row>
    <row r="47" spans="1:2" ht="16.5" customHeight="1">
      <c r="A47" s="15" t="s">
        <v>448</v>
      </c>
      <c r="B47" s="15" t="s">
        <v>447</v>
      </c>
    </row>
    <row r="48" spans="1:2" ht="16.5" customHeight="1">
      <c r="A48" s="15" t="s">
        <v>446</v>
      </c>
      <c r="B48" s="15" t="s">
        <v>445</v>
      </c>
    </row>
    <row r="49" spans="1:2" ht="16.5" customHeight="1">
      <c r="A49" s="15" t="s">
        <v>444</v>
      </c>
      <c r="B49" s="15" t="s">
        <v>443</v>
      </c>
    </row>
    <row r="50" spans="1:2" ht="16.5" customHeight="1">
      <c r="A50" s="15" t="s">
        <v>442</v>
      </c>
      <c r="B50" s="15" t="s">
        <v>441</v>
      </c>
    </row>
    <row r="51" spans="1:2" ht="16.5" customHeight="1">
      <c r="A51" s="15" t="s">
        <v>440</v>
      </c>
      <c r="B51" s="15" t="s">
        <v>439</v>
      </c>
    </row>
    <row r="52" spans="1:2" ht="16.5" customHeight="1">
      <c r="A52" s="15" t="s">
        <v>438</v>
      </c>
      <c r="B52" s="15" t="s">
        <v>437</v>
      </c>
    </row>
    <row r="53" spans="1:2" ht="16.5" customHeight="1">
      <c r="A53" s="15" t="s">
        <v>436</v>
      </c>
      <c r="B53" s="15" t="s">
        <v>435</v>
      </c>
    </row>
    <row r="54" spans="1:2" ht="16.5" customHeight="1">
      <c r="A54" s="15" t="s">
        <v>434</v>
      </c>
      <c r="B54" s="15" t="s">
        <v>433</v>
      </c>
    </row>
    <row r="55" spans="1:2" ht="16.5" customHeight="1">
      <c r="A55" s="15" t="s">
        <v>432</v>
      </c>
      <c r="B55" s="15" t="s">
        <v>431</v>
      </c>
    </row>
    <row r="56" spans="1:2" ht="16.5" customHeight="1">
      <c r="A56" s="15" t="s">
        <v>430</v>
      </c>
      <c r="B56" s="15" t="s">
        <v>429</v>
      </c>
    </row>
    <row r="57" spans="1:2" ht="16.5" customHeight="1">
      <c r="A57" s="15" t="s">
        <v>428</v>
      </c>
      <c r="B57" s="15" t="s">
        <v>427</v>
      </c>
    </row>
    <row r="58" spans="1:2" ht="16.5" customHeight="1">
      <c r="A58" s="15" t="s">
        <v>426</v>
      </c>
      <c r="B58" s="15" t="s">
        <v>425</v>
      </c>
    </row>
    <row r="59" spans="1:2" ht="16.5" customHeight="1">
      <c r="A59" s="15" t="s">
        <v>424</v>
      </c>
      <c r="B59" s="15" t="s">
        <v>423</v>
      </c>
    </row>
    <row r="60" spans="1:2" ht="16.5" customHeight="1">
      <c r="A60" s="15" t="s">
        <v>422</v>
      </c>
      <c r="B60" s="15" t="s">
        <v>421</v>
      </c>
    </row>
    <row r="61" spans="1:2" ht="16.5" customHeight="1">
      <c r="A61" s="15" t="s">
        <v>420</v>
      </c>
      <c r="B61" s="15" t="s">
        <v>419</v>
      </c>
    </row>
    <row r="62" spans="1:2" ht="16.5" customHeight="1">
      <c r="A62" s="15" t="s">
        <v>418</v>
      </c>
      <c r="B62" s="15" t="s">
        <v>417</v>
      </c>
    </row>
    <row r="63" spans="1:2" ht="16.5" customHeight="1">
      <c r="A63" s="15" t="s">
        <v>416</v>
      </c>
      <c r="B63" s="15" t="s">
        <v>415</v>
      </c>
    </row>
    <row r="64" spans="1:2" ht="16.5" customHeight="1">
      <c r="A64" s="15" t="s">
        <v>414</v>
      </c>
      <c r="B64" s="15" t="s">
        <v>413</v>
      </c>
    </row>
    <row r="65" spans="1:2" ht="16.5" customHeight="1">
      <c r="A65" s="15" t="s">
        <v>412</v>
      </c>
      <c r="B65" s="15" t="s">
        <v>411</v>
      </c>
    </row>
    <row r="66" spans="1:2" ht="16.5" customHeight="1">
      <c r="A66" s="15" t="s">
        <v>410</v>
      </c>
      <c r="B66" s="15" t="s">
        <v>409</v>
      </c>
    </row>
    <row r="67" spans="1:2" ht="16.5" customHeight="1">
      <c r="A67" s="15" t="s">
        <v>408</v>
      </c>
      <c r="B67" s="15" t="s">
        <v>407</v>
      </c>
    </row>
    <row r="68" spans="1:2" ht="16.5" customHeight="1">
      <c r="A68" s="15" t="s">
        <v>406</v>
      </c>
      <c r="B68" s="15" t="s">
        <v>405</v>
      </c>
    </row>
    <row r="69" spans="1:2" ht="16.5" customHeight="1">
      <c r="A69" s="15" t="s">
        <v>404</v>
      </c>
      <c r="B69" s="15" t="s">
        <v>403</v>
      </c>
    </row>
    <row r="70" spans="1:2" ht="16.5" customHeight="1">
      <c r="A70" s="15" t="s">
        <v>402</v>
      </c>
      <c r="B70" s="15" t="s">
        <v>401</v>
      </c>
    </row>
    <row r="71" spans="1:2" ht="16.5" customHeight="1">
      <c r="A71" s="15" t="s">
        <v>400</v>
      </c>
      <c r="B71" s="15" t="s">
        <v>399</v>
      </c>
    </row>
    <row r="72" spans="1:2" ht="16.5" customHeight="1">
      <c r="A72" s="15" t="s">
        <v>398</v>
      </c>
      <c r="B72" s="15" t="s">
        <v>397</v>
      </c>
    </row>
    <row r="73" spans="1:2" ht="16.5" customHeight="1">
      <c r="A73" s="15" t="s">
        <v>396</v>
      </c>
      <c r="B73" s="15" t="s">
        <v>395</v>
      </c>
    </row>
    <row r="74" spans="1:2" ht="16.5" customHeight="1">
      <c r="A74" s="15" t="s">
        <v>394</v>
      </c>
      <c r="B74" s="15" t="s">
        <v>393</v>
      </c>
    </row>
    <row r="75" spans="1:2" ht="16.5" customHeight="1">
      <c r="A75" s="15" t="s">
        <v>392</v>
      </c>
      <c r="B75" s="15" t="s">
        <v>391</v>
      </c>
    </row>
    <row r="76" spans="1:2" ht="16.5" customHeight="1">
      <c r="A76" s="15" t="s">
        <v>390</v>
      </c>
      <c r="B76" s="15" t="s">
        <v>389</v>
      </c>
    </row>
    <row r="77" spans="1:2" ht="16.5" customHeight="1">
      <c r="A77" s="15" t="s">
        <v>388</v>
      </c>
      <c r="B77" s="15" t="s">
        <v>387</v>
      </c>
    </row>
    <row r="78" spans="1:2" ht="16.5" customHeight="1">
      <c r="A78" s="15" t="s">
        <v>386</v>
      </c>
      <c r="B78" s="15" t="s">
        <v>385</v>
      </c>
    </row>
    <row r="79" spans="1:2" ht="16.5" customHeight="1">
      <c r="A79" s="15" t="s">
        <v>384</v>
      </c>
      <c r="B79" s="15" t="s">
        <v>383</v>
      </c>
    </row>
    <row r="80" spans="1:2" ht="16.5" customHeight="1">
      <c r="A80" s="15" t="s">
        <v>382</v>
      </c>
      <c r="B80" s="15" t="s">
        <v>381</v>
      </c>
    </row>
    <row r="81" spans="1:2" ht="16.5" customHeight="1">
      <c r="A81" s="15" t="s">
        <v>380</v>
      </c>
      <c r="B81" s="15" t="s">
        <v>379</v>
      </c>
    </row>
    <row r="82" spans="1:2" ht="16.5" customHeight="1">
      <c r="A82" s="15" t="s">
        <v>378</v>
      </c>
      <c r="B82" s="15" t="s">
        <v>377</v>
      </c>
    </row>
    <row r="83" spans="1:2" ht="16.5" customHeight="1">
      <c r="A83" s="15" t="s">
        <v>376</v>
      </c>
      <c r="B83" s="15" t="s">
        <v>375</v>
      </c>
    </row>
    <row r="84" spans="1:2" ht="16.5" customHeight="1">
      <c r="A84" s="15" t="s">
        <v>374</v>
      </c>
      <c r="B84" s="15" t="s">
        <v>373</v>
      </c>
    </row>
    <row r="85" spans="1:2" ht="16.5" customHeight="1">
      <c r="A85" s="15" t="s">
        <v>372</v>
      </c>
      <c r="B85" s="15" t="s">
        <v>371</v>
      </c>
    </row>
    <row r="86" spans="1:2" ht="16.5" customHeight="1">
      <c r="A86" s="15" t="s">
        <v>370</v>
      </c>
      <c r="B86" s="15" t="s">
        <v>369</v>
      </c>
    </row>
    <row r="87" spans="1:2" ht="16.5" customHeight="1">
      <c r="A87" s="15" t="s">
        <v>368</v>
      </c>
      <c r="B87" s="15" t="s">
        <v>367</v>
      </c>
    </row>
    <row r="88" spans="1:2" ht="16.5" customHeight="1">
      <c r="A88" s="15" t="s">
        <v>366</v>
      </c>
      <c r="B88" s="15" t="s">
        <v>365</v>
      </c>
    </row>
    <row r="89" spans="1:2" ht="16.5" customHeight="1">
      <c r="A89" s="15" t="s">
        <v>364</v>
      </c>
      <c r="B89" s="15" t="s">
        <v>363</v>
      </c>
    </row>
    <row r="90" spans="1:2" ht="16.5" customHeight="1">
      <c r="A90" s="15" t="s">
        <v>362</v>
      </c>
      <c r="B90" s="15" t="s">
        <v>361</v>
      </c>
    </row>
    <row r="91" spans="1:2" ht="16.5" customHeight="1">
      <c r="A91" s="15" t="s">
        <v>360</v>
      </c>
      <c r="B91" s="15" t="s">
        <v>359</v>
      </c>
    </row>
    <row r="92" spans="1:2" ht="16.5" customHeight="1">
      <c r="A92" s="15" t="s">
        <v>358</v>
      </c>
      <c r="B92" s="15" t="s">
        <v>357</v>
      </c>
    </row>
    <row r="93" spans="1:2" ht="16.5" customHeight="1">
      <c r="A93" s="15" t="s">
        <v>356</v>
      </c>
      <c r="B93" s="15" t="s">
        <v>355</v>
      </c>
    </row>
    <row r="94" spans="1:2" ht="16.5" customHeight="1">
      <c r="A94" s="15" t="s">
        <v>354</v>
      </c>
      <c r="B94" s="15" t="s">
        <v>353</v>
      </c>
    </row>
    <row r="95" spans="1:2" ht="16.5" customHeight="1">
      <c r="A95" s="15" t="s">
        <v>352</v>
      </c>
      <c r="B95" s="15" t="s">
        <v>351</v>
      </c>
    </row>
    <row r="96" spans="1:2" ht="16.5" customHeight="1">
      <c r="A96" s="15" t="s">
        <v>350</v>
      </c>
      <c r="B96" s="15" t="s">
        <v>349</v>
      </c>
    </row>
    <row r="97" spans="1:2" ht="16.5" customHeight="1">
      <c r="A97" s="15" t="s">
        <v>348</v>
      </c>
      <c r="B97" s="15" t="s">
        <v>347</v>
      </c>
    </row>
    <row r="98" spans="1:2" ht="16.5" customHeight="1">
      <c r="A98" s="15" t="s">
        <v>346</v>
      </c>
      <c r="B98" s="15" t="s">
        <v>345</v>
      </c>
    </row>
    <row r="99" spans="1:2" ht="16.5" customHeight="1">
      <c r="A99" s="15" t="s">
        <v>344</v>
      </c>
      <c r="B99" s="15" t="s">
        <v>343</v>
      </c>
    </row>
    <row r="100" spans="1:2" ht="16.5" customHeight="1">
      <c r="A100" s="15" t="s">
        <v>342</v>
      </c>
      <c r="B100" s="15" t="s">
        <v>341</v>
      </c>
    </row>
    <row r="101" spans="1:2" ht="16.5" customHeight="1">
      <c r="A101" s="15" t="s">
        <v>340</v>
      </c>
      <c r="B101" s="15" t="s">
        <v>339</v>
      </c>
    </row>
    <row r="102" spans="1:2" ht="16.5" customHeight="1">
      <c r="A102" s="15" t="s">
        <v>338</v>
      </c>
      <c r="B102" s="15" t="s">
        <v>337</v>
      </c>
    </row>
    <row r="103" spans="1:2" ht="16.5" customHeight="1">
      <c r="A103" s="15" t="s">
        <v>336</v>
      </c>
      <c r="B103" s="15" t="s">
        <v>335</v>
      </c>
    </row>
    <row r="104" spans="1:2" ht="16.5" customHeight="1">
      <c r="A104" s="15" t="s">
        <v>334</v>
      </c>
      <c r="B104" s="15" t="s">
        <v>333</v>
      </c>
    </row>
    <row r="105" spans="1:2" ht="16.5" customHeight="1">
      <c r="A105" s="15" t="s">
        <v>332</v>
      </c>
      <c r="B105" s="15" t="s">
        <v>331</v>
      </c>
    </row>
    <row r="106" spans="1:2" ht="16.5" customHeight="1">
      <c r="A106" s="15" t="s">
        <v>330</v>
      </c>
      <c r="B106" s="15" t="s">
        <v>329</v>
      </c>
    </row>
    <row r="107" spans="1:2" ht="16.5" customHeight="1">
      <c r="A107" s="15" t="s">
        <v>328</v>
      </c>
      <c r="B107" s="15" t="s">
        <v>327</v>
      </c>
    </row>
    <row r="108" spans="1:2" ht="16.5" customHeight="1">
      <c r="A108" s="15" t="s">
        <v>326</v>
      </c>
      <c r="B108" s="15" t="s">
        <v>325</v>
      </c>
    </row>
    <row r="109" spans="1:2" ht="16.5" customHeight="1">
      <c r="A109" s="15" t="s">
        <v>324</v>
      </c>
      <c r="B109" s="15" t="s">
        <v>323</v>
      </c>
    </row>
    <row r="110" spans="1:2" ht="16.5" customHeight="1">
      <c r="A110" s="15" t="s">
        <v>322</v>
      </c>
      <c r="B110" s="15" t="s">
        <v>321</v>
      </c>
    </row>
    <row r="111" spans="1:2" ht="16.5" customHeight="1">
      <c r="A111" s="15" t="s">
        <v>320</v>
      </c>
      <c r="B111" s="15" t="s">
        <v>319</v>
      </c>
    </row>
    <row r="112" spans="1:2" ht="16.5" customHeight="1">
      <c r="A112" s="15" t="s">
        <v>318</v>
      </c>
      <c r="B112" s="15" t="s">
        <v>317</v>
      </c>
    </row>
    <row r="113" spans="1:2" ht="16.5" customHeight="1">
      <c r="A113" s="15" t="s">
        <v>316</v>
      </c>
      <c r="B113" s="15" t="s">
        <v>315</v>
      </c>
    </row>
    <row r="114" spans="1:2" ht="16.5" customHeight="1">
      <c r="A114" s="15" t="s">
        <v>314</v>
      </c>
      <c r="B114" s="15" t="s">
        <v>313</v>
      </c>
    </row>
    <row r="115" spans="1:2" ht="16.5" customHeight="1">
      <c r="A115" s="15" t="s">
        <v>312</v>
      </c>
      <c r="B115" s="15" t="s">
        <v>311</v>
      </c>
    </row>
    <row r="116" spans="1:2" ht="16.5" customHeight="1">
      <c r="A116" s="15" t="s">
        <v>310</v>
      </c>
      <c r="B116" s="15" t="s">
        <v>309</v>
      </c>
    </row>
    <row r="117" spans="1:2" ht="16.5" customHeight="1">
      <c r="A117" s="15" t="s">
        <v>308</v>
      </c>
      <c r="B117" s="15" t="s">
        <v>307</v>
      </c>
    </row>
    <row r="118" spans="1:2" ht="16.5" customHeight="1">
      <c r="A118" s="15" t="s">
        <v>306</v>
      </c>
      <c r="B118" s="15" t="s">
        <v>305</v>
      </c>
    </row>
    <row r="119" spans="1:2" ht="16.5" customHeight="1">
      <c r="A119" s="15" t="s">
        <v>304</v>
      </c>
      <c r="B119" s="15" t="s">
        <v>303</v>
      </c>
    </row>
    <row r="120" spans="1:2" ht="16.5" customHeight="1">
      <c r="A120" s="15" t="s">
        <v>302</v>
      </c>
      <c r="B120" s="15" t="s">
        <v>301</v>
      </c>
    </row>
    <row r="121" spans="1:2" ht="16.5" customHeight="1">
      <c r="A121" s="15" t="s">
        <v>300</v>
      </c>
      <c r="B121" s="15" t="s">
        <v>299</v>
      </c>
    </row>
    <row r="122" spans="1:2" ht="16.5" customHeight="1">
      <c r="A122" s="15" t="s">
        <v>298</v>
      </c>
      <c r="B122" s="15" t="s">
        <v>297</v>
      </c>
    </row>
    <row r="123" spans="1:2" ht="16.5" customHeight="1">
      <c r="A123" s="15" t="s">
        <v>296</v>
      </c>
      <c r="B123" s="15" t="s">
        <v>295</v>
      </c>
    </row>
    <row r="124" spans="1:2" ht="16.5" customHeight="1">
      <c r="A124" s="15" t="s">
        <v>294</v>
      </c>
      <c r="B124" s="15" t="s">
        <v>293</v>
      </c>
    </row>
    <row r="125" spans="1:2" ht="16.5" customHeight="1">
      <c r="A125" s="15" t="s">
        <v>292</v>
      </c>
      <c r="B125" s="15" t="s">
        <v>291</v>
      </c>
    </row>
    <row r="126" spans="1:2" ht="16.5" customHeight="1">
      <c r="A126" s="15" t="s">
        <v>290</v>
      </c>
      <c r="B126" s="15" t="s">
        <v>289</v>
      </c>
    </row>
    <row r="127" spans="1:2" ht="16.5" customHeight="1">
      <c r="A127" s="15" t="s">
        <v>288</v>
      </c>
      <c r="B127" s="15" t="s">
        <v>287</v>
      </c>
    </row>
    <row r="128" spans="1:2" ht="16.5" customHeight="1">
      <c r="A128" s="15" t="s">
        <v>286</v>
      </c>
      <c r="B128" s="15" t="s">
        <v>285</v>
      </c>
    </row>
    <row r="129" spans="1:2" ht="16.5" customHeight="1">
      <c r="A129" s="15" t="s">
        <v>284</v>
      </c>
      <c r="B129" s="15" t="s">
        <v>283</v>
      </c>
    </row>
    <row r="130" spans="1:2" ht="16.5" customHeight="1">
      <c r="A130" s="15" t="s">
        <v>282</v>
      </c>
      <c r="B130" s="15" t="s">
        <v>281</v>
      </c>
    </row>
    <row r="131" spans="1:2" ht="16.5" customHeight="1">
      <c r="A131" s="15" t="s">
        <v>280</v>
      </c>
      <c r="B131" s="15" t="s">
        <v>279</v>
      </c>
    </row>
    <row r="132" spans="1:2" ht="16.5" customHeight="1">
      <c r="A132" s="15" t="s">
        <v>278</v>
      </c>
      <c r="B132" s="15" t="s">
        <v>277</v>
      </c>
    </row>
    <row r="133" spans="1:2" ht="16.5" customHeight="1">
      <c r="A133" s="15" t="s">
        <v>276</v>
      </c>
      <c r="B133" s="15" t="s">
        <v>275</v>
      </c>
    </row>
    <row r="134" spans="1:2" ht="16.5" customHeight="1">
      <c r="A134" s="15" t="s">
        <v>274</v>
      </c>
      <c r="B134" s="15" t="s">
        <v>273</v>
      </c>
    </row>
    <row r="135" spans="1:2" ht="16.5" customHeight="1">
      <c r="A135" s="15" t="s">
        <v>272</v>
      </c>
      <c r="B135" s="15" t="s">
        <v>271</v>
      </c>
    </row>
    <row r="136" spans="1:2" ht="16.5" customHeight="1">
      <c r="A136" s="15" t="s">
        <v>270</v>
      </c>
      <c r="B136" s="15" t="s">
        <v>269</v>
      </c>
    </row>
    <row r="137" spans="1:2" ht="16.5" customHeight="1">
      <c r="A137" s="15" t="s">
        <v>268</v>
      </c>
      <c r="B137" s="15" t="s">
        <v>267</v>
      </c>
    </row>
    <row r="138" spans="1:2" ht="16.5" customHeight="1">
      <c r="A138" s="15" t="s">
        <v>266</v>
      </c>
      <c r="B138" s="15" t="s">
        <v>265</v>
      </c>
    </row>
    <row r="139" spans="1:2" ht="16.5" customHeight="1">
      <c r="A139" s="15" t="s">
        <v>264</v>
      </c>
      <c r="B139" s="15" t="s">
        <v>263</v>
      </c>
    </row>
    <row r="140" spans="1:2" ht="16.5" customHeight="1">
      <c r="A140" s="15" t="s">
        <v>262</v>
      </c>
      <c r="B140" s="15" t="s">
        <v>261</v>
      </c>
    </row>
    <row r="141" spans="1:2" ht="16.5" customHeight="1">
      <c r="A141" s="15" t="s">
        <v>260</v>
      </c>
      <c r="B141" s="15" t="s">
        <v>259</v>
      </c>
    </row>
    <row r="142" spans="1:2" ht="16.5" customHeight="1">
      <c r="A142" s="15" t="s">
        <v>258</v>
      </c>
      <c r="B142" s="15" t="s">
        <v>257</v>
      </c>
    </row>
    <row r="143" spans="1:2" ht="16.5" customHeight="1">
      <c r="A143" s="15" t="s">
        <v>256</v>
      </c>
      <c r="B143" s="15" t="s">
        <v>255</v>
      </c>
    </row>
    <row r="144" spans="1:2" ht="16.5" customHeight="1">
      <c r="A144" s="15" t="s">
        <v>254</v>
      </c>
      <c r="B144" s="15" t="s">
        <v>253</v>
      </c>
    </row>
    <row r="145" spans="1:2" ht="16.5" customHeight="1">
      <c r="A145" s="15" t="s">
        <v>252</v>
      </c>
      <c r="B145" s="15" t="s">
        <v>251</v>
      </c>
    </row>
    <row r="146" spans="1:2" ht="16.5" customHeight="1">
      <c r="A146" s="15" t="s">
        <v>250</v>
      </c>
      <c r="B146" s="15" t="s">
        <v>249</v>
      </c>
    </row>
    <row r="147" spans="1:2" ht="16.5" customHeight="1">
      <c r="A147" s="15" t="s">
        <v>248</v>
      </c>
      <c r="B147" s="15" t="s">
        <v>247</v>
      </c>
    </row>
    <row r="148" spans="1:2" ht="16.5" customHeight="1">
      <c r="A148" s="15" t="s">
        <v>246</v>
      </c>
      <c r="B148" s="15" t="s">
        <v>245</v>
      </c>
    </row>
    <row r="149" spans="1:2" ht="16.5" customHeight="1">
      <c r="A149" s="15" t="s">
        <v>244</v>
      </c>
      <c r="B149" s="15" t="s">
        <v>243</v>
      </c>
    </row>
    <row r="150" spans="1:2" ht="16.5" customHeight="1">
      <c r="A150" s="15" t="s">
        <v>242</v>
      </c>
      <c r="B150" s="15" t="s">
        <v>241</v>
      </c>
    </row>
    <row r="151" spans="1:2" ht="16.5" customHeight="1">
      <c r="A151" s="15" t="s">
        <v>240</v>
      </c>
      <c r="B151" s="15" t="s">
        <v>239</v>
      </c>
    </row>
    <row r="152" spans="1:2" ht="16.5" customHeight="1">
      <c r="A152" s="15" t="s">
        <v>238</v>
      </c>
      <c r="B152" s="15" t="s">
        <v>237</v>
      </c>
    </row>
    <row r="153" spans="1:2" ht="16.5" customHeight="1">
      <c r="A153" s="15" t="s">
        <v>236</v>
      </c>
      <c r="B153" s="15" t="s">
        <v>235</v>
      </c>
    </row>
    <row r="154" spans="1:2" ht="16.5" customHeight="1">
      <c r="A154" s="15" t="s">
        <v>234</v>
      </c>
      <c r="B154" s="15" t="s">
        <v>233</v>
      </c>
    </row>
    <row r="155" spans="1:2" ht="16.5" customHeight="1">
      <c r="A155" s="15" t="s">
        <v>232</v>
      </c>
      <c r="B155" s="15" t="s">
        <v>231</v>
      </c>
    </row>
    <row r="156" spans="1:2" ht="16.5" customHeight="1">
      <c r="A156" s="15" t="s">
        <v>230</v>
      </c>
      <c r="B156" s="15" t="s">
        <v>229</v>
      </c>
    </row>
    <row r="157" spans="1:2" ht="16.5" customHeight="1">
      <c r="A157" s="15" t="s">
        <v>228</v>
      </c>
      <c r="B157" s="15" t="s">
        <v>227</v>
      </c>
    </row>
    <row r="158" spans="1:2" ht="16.5" customHeight="1">
      <c r="A158" s="15" t="s">
        <v>226</v>
      </c>
      <c r="B158" s="15" t="s">
        <v>225</v>
      </c>
    </row>
    <row r="159" spans="1:2" ht="16.5" customHeight="1">
      <c r="A159" s="15" t="s">
        <v>224</v>
      </c>
      <c r="B159" s="15" t="s">
        <v>223</v>
      </c>
    </row>
    <row r="160" spans="1:2" ht="16.5" customHeight="1">
      <c r="A160" s="15" t="s">
        <v>222</v>
      </c>
      <c r="B160" s="15" t="s">
        <v>221</v>
      </c>
    </row>
    <row r="161" spans="1:2" ht="16.5" customHeight="1">
      <c r="A161" s="15" t="s">
        <v>220</v>
      </c>
      <c r="B161" s="15" t="s">
        <v>219</v>
      </c>
    </row>
    <row r="162" spans="1:2" ht="16.5" customHeight="1">
      <c r="A162" s="15" t="s">
        <v>218</v>
      </c>
      <c r="B162" s="15" t="s">
        <v>217</v>
      </c>
    </row>
    <row r="163" spans="1:2" ht="16.5" customHeight="1">
      <c r="A163" s="15" t="s">
        <v>216</v>
      </c>
      <c r="B163" s="15" t="s">
        <v>215</v>
      </c>
    </row>
    <row r="164" spans="1:2" ht="16.5" customHeight="1">
      <c r="A164" s="15" t="s">
        <v>214</v>
      </c>
      <c r="B164" s="15" t="s">
        <v>213</v>
      </c>
    </row>
    <row r="165" spans="1:2" ht="16.5" customHeight="1">
      <c r="A165" s="15" t="s">
        <v>212</v>
      </c>
      <c r="B165" s="15" t="s">
        <v>211</v>
      </c>
    </row>
    <row r="166" spans="1:2" ht="16.5" customHeight="1">
      <c r="A166" s="15" t="s">
        <v>210</v>
      </c>
      <c r="B166" s="15" t="s">
        <v>209</v>
      </c>
    </row>
    <row r="167" spans="1:2" ht="16.5" customHeight="1">
      <c r="A167" s="15" t="s">
        <v>208</v>
      </c>
      <c r="B167" s="15" t="s">
        <v>207</v>
      </c>
    </row>
    <row r="168" spans="1:2" ht="16.5" customHeight="1">
      <c r="A168" s="15" t="s">
        <v>206</v>
      </c>
      <c r="B168" s="15" t="s">
        <v>205</v>
      </c>
    </row>
    <row r="169" spans="1:2" ht="16.5" customHeight="1">
      <c r="A169" s="15" t="s">
        <v>204</v>
      </c>
      <c r="B169" s="15" t="s">
        <v>203</v>
      </c>
    </row>
    <row r="170" spans="1:2" ht="16.5" customHeight="1">
      <c r="A170" s="15" t="s">
        <v>202</v>
      </c>
      <c r="B170" s="15" t="s">
        <v>201</v>
      </c>
    </row>
    <row r="171" spans="1:2" ht="16.5" customHeight="1">
      <c r="A171" s="15" t="s">
        <v>200</v>
      </c>
      <c r="B171" s="15" t="s">
        <v>199</v>
      </c>
    </row>
    <row r="172" spans="1:2" ht="16.5" customHeight="1">
      <c r="A172" s="15" t="s">
        <v>198</v>
      </c>
      <c r="B172" s="15" t="s">
        <v>197</v>
      </c>
    </row>
    <row r="173" spans="1:2" ht="16.5" customHeight="1">
      <c r="A173" s="15" t="s">
        <v>196</v>
      </c>
      <c r="B173" s="15" t="s">
        <v>195</v>
      </c>
    </row>
    <row r="174" spans="1:2" ht="16.5" customHeight="1">
      <c r="A174" s="15" t="s">
        <v>194</v>
      </c>
      <c r="B174" s="15" t="s">
        <v>193</v>
      </c>
    </row>
    <row r="175" spans="1:2" ht="16.5" customHeight="1">
      <c r="A175" s="15" t="s">
        <v>192</v>
      </c>
      <c r="B175" s="15" t="s">
        <v>191</v>
      </c>
    </row>
    <row r="176" spans="1:2" ht="16.5" customHeight="1">
      <c r="A176" s="15" t="s">
        <v>190</v>
      </c>
      <c r="B176" s="15" t="s">
        <v>189</v>
      </c>
    </row>
    <row r="177" spans="1:2" ht="16.5" customHeight="1">
      <c r="A177" s="15" t="s">
        <v>188</v>
      </c>
      <c r="B177" s="15" t="s">
        <v>187</v>
      </c>
    </row>
    <row r="178" spans="1:2" ht="16.5" customHeight="1">
      <c r="A178" s="15" t="s">
        <v>186</v>
      </c>
      <c r="B178" s="15" t="s">
        <v>185</v>
      </c>
    </row>
    <row r="179" spans="1:2" ht="16.5" customHeight="1">
      <c r="A179" s="15" t="s">
        <v>184</v>
      </c>
      <c r="B179" s="15" t="s">
        <v>17</v>
      </c>
    </row>
    <row r="180" spans="1:2" ht="16.5" customHeight="1">
      <c r="A180" s="15" t="s">
        <v>183</v>
      </c>
      <c r="B180" s="15" t="s">
        <v>182</v>
      </c>
    </row>
    <row r="181" spans="1:2" ht="16.5" customHeight="1">
      <c r="A181" s="15" t="s">
        <v>181</v>
      </c>
      <c r="B181" s="15" t="s">
        <v>180</v>
      </c>
    </row>
    <row r="182" spans="1:2" ht="16.5" customHeight="1">
      <c r="A182" s="15" t="s">
        <v>179</v>
      </c>
      <c r="B182" s="15" t="s">
        <v>178</v>
      </c>
    </row>
    <row r="183" spans="1:2" ht="16.5" customHeight="1">
      <c r="A183" s="15" t="s">
        <v>177</v>
      </c>
      <c r="B183" s="15" t="s">
        <v>176</v>
      </c>
    </row>
    <row r="184" spans="1:2" ht="16.5" customHeight="1">
      <c r="A184" s="15" t="s">
        <v>175</v>
      </c>
      <c r="B184" s="15" t="s">
        <v>174</v>
      </c>
    </row>
    <row r="185" spans="1:2" ht="16.5" customHeight="1">
      <c r="A185" s="15" t="s">
        <v>173</v>
      </c>
      <c r="B185" s="15" t="s">
        <v>172</v>
      </c>
    </row>
    <row r="186" spans="1:2" ht="16.5" customHeight="1">
      <c r="A186" s="15" t="s">
        <v>171</v>
      </c>
      <c r="B186" s="15" t="s">
        <v>170</v>
      </c>
    </row>
    <row r="187" spans="1:2" ht="16.5" customHeight="1">
      <c r="A187" s="15" t="s">
        <v>169</v>
      </c>
      <c r="B187" s="15" t="s">
        <v>168</v>
      </c>
    </row>
    <row r="188" spans="1:2" ht="16.5" customHeight="1">
      <c r="A188" s="15" t="s">
        <v>167</v>
      </c>
      <c r="B188" s="15" t="s">
        <v>166</v>
      </c>
    </row>
    <row r="189" spans="1:2" ht="16.5" customHeight="1">
      <c r="A189" s="15" t="s">
        <v>165</v>
      </c>
      <c r="B189" s="15" t="s">
        <v>164</v>
      </c>
    </row>
    <row r="190" spans="1:2" ht="16.5" customHeight="1">
      <c r="A190" s="15" t="s">
        <v>163</v>
      </c>
      <c r="B190" s="15" t="s">
        <v>162</v>
      </c>
    </row>
    <row r="191" spans="1:2" ht="16.5" customHeight="1">
      <c r="A191" s="15" t="s">
        <v>161</v>
      </c>
      <c r="B191" s="15" t="s">
        <v>160</v>
      </c>
    </row>
    <row r="192" spans="1:2" ht="16.5" customHeight="1">
      <c r="A192" s="15" t="s">
        <v>159</v>
      </c>
      <c r="B192" s="15" t="s">
        <v>158</v>
      </c>
    </row>
    <row r="193" spans="1:2" ht="16.5" customHeight="1">
      <c r="A193" s="15" t="s">
        <v>157</v>
      </c>
      <c r="B193" s="15" t="s">
        <v>156</v>
      </c>
    </row>
    <row r="194" spans="1:2" ht="16.5" customHeight="1">
      <c r="A194" s="15" t="s">
        <v>155</v>
      </c>
      <c r="B194" s="15" t="s">
        <v>154</v>
      </c>
    </row>
    <row r="195" spans="1:2" ht="16.5" customHeight="1">
      <c r="A195" s="15" t="s">
        <v>153</v>
      </c>
      <c r="B195" s="15" t="s">
        <v>152</v>
      </c>
    </row>
    <row r="196" spans="1:2" ht="16.5" customHeight="1">
      <c r="A196" s="15" t="s">
        <v>151</v>
      </c>
      <c r="B196" s="15" t="s">
        <v>150</v>
      </c>
    </row>
    <row r="197" spans="1:2" ht="16.5" customHeight="1">
      <c r="A197" s="15" t="s">
        <v>149</v>
      </c>
      <c r="B197" s="15" t="s">
        <v>148</v>
      </c>
    </row>
    <row r="198" spans="1:2" ht="16.5" customHeight="1">
      <c r="A198" s="15" t="s">
        <v>147</v>
      </c>
      <c r="B198" s="15" t="s">
        <v>146</v>
      </c>
    </row>
    <row r="199" spans="1:2" ht="16.5" customHeight="1">
      <c r="A199" s="15" t="s">
        <v>145</v>
      </c>
      <c r="B199" s="15" t="s">
        <v>144</v>
      </c>
    </row>
    <row r="200" spans="1:2" ht="16.5" customHeight="1">
      <c r="A200" s="15" t="s">
        <v>143</v>
      </c>
      <c r="B200" s="15" t="s">
        <v>142</v>
      </c>
    </row>
    <row r="201" spans="1:2" ht="16.5" customHeight="1">
      <c r="A201" s="15" t="s">
        <v>141</v>
      </c>
      <c r="B201" s="15" t="s">
        <v>140</v>
      </c>
    </row>
    <row r="202" spans="1:2" ht="16.5" customHeight="1">
      <c r="A202" s="15" t="s">
        <v>139</v>
      </c>
      <c r="B202" s="15" t="s">
        <v>138</v>
      </c>
    </row>
    <row r="203" spans="1:2" ht="16.5" customHeight="1">
      <c r="A203" s="15" t="s">
        <v>137</v>
      </c>
      <c r="B203" s="15" t="s">
        <v>136</v>
      </c>
    </row>
    <row r="204" spans="1:2" ht="16.5" customHeight="1">
      <c r="A204" s="15" t="s">
        <v>135</v>
      </c>
      <c r="B204" s="15" t="s">
        <v>134</v>
      </c>
    </row>
    <row r="205" spans="1:2" ht="16.5" customHeight="1">
      <c r="A205" s="15" t="s">
        <v>133</v>
      </c>
      <c r="B205" s="15" t="s">
        <v>132</v>
      </c>
    </row>
    <row r="206" spans="1:2" ht="16.5" customHeight="1">
      <c r="A206" s="15" t="s">
        <v>131</v>
      </c>
      <c r="B206" s="15" t="s">
        <v>130</v>
      </c>
    </row>
    <row r="207" spans="1:2" ht="16.5" customHeight="1">
      <c r="A207" s="15" t="s">
        <v>129</v>
      </c>
      <c r="B207" s="15" t="s">
        <v>128</v>
      </c>
    </row>
    <row r="208" spans="1:2" ht="16.5" customHeight="1">
      <c r="A208" s="15" t="s">
        <v>127</v>
      </c>
      <c r="B208" s="15" t="s">
        <v>126</v>
      </c>
    </row>
    <row r="209" spans="1:2" ht="16.5" customHeight="1">
      <c r="A209" s="15" t="s">
        <v>125</v>
      </c>
      <c r="B209" s="15" t="s">
        <v>124</v>
      </c>
    </row>
    <row r="210" spans="1:2" ht="16.5" customHeight="1">
      <c r="A210" s="15" t="s">
        <v>123</v>
      </c>
      <c r="B210" s="15" t="s">
        <v>5</v>
      </c>
    </row>
    <row r="211" spans="1:2" ht="16.5" customHeight="1">
      <c r="A211" s="15" t="s">
        <v>122</v>
      </c>
      <c r="B211" s="15" t="s">
        <v>121</v>
      </c>
    </row>
    <row r="212" spans="1:2" ht="16.5" customHeight="1">
      <c r="A212" s="15" t="s">
        <v>120</v>
      </c>
      <c r="B212" s="15" t="s">
        <v>119</v>
      </c>
    </row>
    <row r="213" spans="1:2" ht="16.5" customHeight="1">
      <c r="A213" s="15" t="s">
        <v>118</v>
      </c>
      <c r="B213" s="15" t="s">
        <v>117</v>
      </c>
    </row>
    <row r="214" spans="1:2" ht="16.5" customHeight="1">
      <c r="A214" s="15" t="s">
        <v>116</v>
      </c>
      <c r="B214" s="15" t="s">
        <v>115</v>
      </c>
    </row>
    <row r="215" spans="1:2" ht="16.5" customHeight="1">
      <c r="A215" s="15" t="s">
        <v>114</v>
      </c>
      <c r="B215" s="15" t="s">
        <v>113</v>
      </c>
    </row>
    <row r="216" spans="1:2" ht="16.5" customHeight="1">
      <c r="A216" s="15" t="s">
        <v>112</v>
      </c>
      <c r="B216" s="15" t="s">
        <v>111</v>
      </c>
    </row>
    <row r="217" spans="1:2" ht="16.5" customHeight="1">
      <c r="A217" s="15" t="s">
        <v>110</v>
      </c>
      <c r="B217" s="15" t="s">
        <v>109</v>
      </c>
    </row>
    <row r="218" spans="1:2" ht="16.5" customHeight="1">
      <c r="A218" s="15" t="s">
        <v>108</v>
      </c>
      <c r="B218" s="15" t="s">
        <v>107</v>
      </c>
    </row>
    <row r="219" spans="1:2" ht="16.5" customHeight="1">
      <c r="A219" s="15" t="s">
        <v>106</v>
      </c>
      <c r="B219" s="15" t="s">
        <v>105</v>
      </c>
    </row>
    <row r="220" spans="1:2" ht="16.5" customHeight="1">
      <c r="A220" s="15" t="s">
        <v>104</v>
      </c>
      <c r="B220" s="15" t="s">
        <v>103</v>
      </c>
    </row>
    <row r="221" spans="1:2" ht="16.5" customHeight="1">
      <c r="A221" s="15" t="s">
        <v>102</v>
      </c>
      <c r="B221" s="15" t="s">
        <v>101</v>
      </c>
    </row>
    <row r="222" spans="1:2" ht="16.5" customHeight="1">
      <c r="A222" s="15" t="s">
        <v>100</v>
      </c>
      <c r="B222" s="15" t="s">
        <v>99</v>
      </c>
    </row>
    <row r="223" spans="1:2" ht="16.5" customHeight="1">
      <c r="A223" s="15" t="s">
        <v>98</v>
      </c>
      <c r="B223" s="15" t="s">
        <v>97</v>
      </c>
    </row>
    <row r="224" spans="1:2" ht="16.5" customHeight="1">
      <c r="A224" s="15" t="s">
        <v>96</v>
      </c>
      <c r="B224" s="15" t="s">
        <v>95</v>
      </c>
    </row>
    <row r="225" spans="1:2" ht="16.5" customHeight="1">
      <c r="A225" s="15" t="s">
        <v>94</v>
      </c>
      <c r="B225" s="15" t="s">
        <v>93</v>
      </c>
    </row>
    <row r="226" spans="1:2" ht="16.5" customHeight="1">
      <c r="A226" s="15" t="s">
        <v>92</v>
      </c>
      <c r="B226" s="15" t="s">
        <v>91</v>
      </c>
    </row>
    <row r="227" spans="1:2" ht="16.5" customHeight="1">
      <c r="A227" s="15" t="s">
        <v>90</v>
      </c>
      <c r="B227" s="15" t="s">
        <v>89</v>
      </c>
    </row>
    <row r="228" spans="1:2" ht="16.5" customHeight="1">
      <c r="A228" s="15" t="s">
        <v>88</v>
      </c>
      <c r="B228" s="15" t="s">
        <v>87</v>
      </c>
    </row>
    <row r="229" spans="1:2" ht="16.5" customHeight="1">
      <c r="A229" s="15" t="s">
        <v>86</v>
      </c>
      <c r="B229" s="15" t="s">
        <v>85</v>
      </c>
    </row>
    <row r="230" spans="1:2" ht="16.5" customHeight="1">
      <c r="A230" s="15" t="s">
        <v>84</v>
      </c>
      <c r="B230" s="15" t="s">
        <v>83</v>
      </c>
    </row>
    <row r="231" spans="1:2" ht="16.5" customHeight="1">
      <c r="A231" s="15" t="s">
        <v>82</v>
      </c>
      <c r="B231" s="15" t="s">
        <v>81</v>
      </c>
    </row>
    <row r="232" spans="1:2" ht="16.5" customHeight="1">
      <c r="A232" s="15" t="s">
        <v>80</v>
      </c>
      <c r="B232" s="15" t="s">
        <v>79</v>
      </c>
    </row>
    <row r="233" spans="1:2" ht="16.5" customHeight="1">
      <c r="A233" s="15" t="s">
        <v>78</v>
      </c>
      <c r="B233" s="15" t="s">
        <v>77</v>
      </c>
    </row>
    <row r="234" spans="1:2" ht="16.5" customHeight="1">
      <c r="A234" s="15" t="s">
        <v>76</v>
      </c>
      <c r="B234" s="15" t="s">
        <v>75</v>
      </c>
    </row>
    <row r="235" spans="1:2" ht="16.5" customHeight="1">
      <c r="A235" s="15" t="s">
        <v>74</v>
      </c>
      <c r="B235" s="15" t="s">
        <v>73</v>
      </c>
    </row>
    <row r="236" spans="1:2" ht="16.5" customHeight="1">
      <c r="A236" s="15" t="s">
        <v>72</v>
      </c>
      <c r="B236" s="15" t="s">
        <v>71</v>
      </c>
    </row>
    <row r="237" spans="1:2" ht="16.5" customHeight="1">
      <c r="A237" s="15" t="s">
        <v>70</v>
      </c>
      <c r="B237" s="15" t="s">
        <v>69</v>
      </c>
    </row>
    <row r="238" spans="1:2" ht="16.5" customHeight="1">
      <c r="A238" s="15" t="s">
        <v>68</v>
      </c>
      <c r="B238" s="15" t="s">
        <v>67</v>
      </c>
    </row>
    <row r="239" spans="1:2" ht="16.5" customHeight="1">
      <c r="A239" s="15" t="s">
        <v>66</v>
      </c>
      <c r="B239" s="15" t="s">
        <v>65</v>
      </c>
    </row>
    <row r="240" spans="1:2" ht="16.5" customHeight="1">
      <c r="A240" s="15" t="s">
        <v>64</v>
      </c>
      <c r="B240" s="15" t="s">
        <v>63</v>
      </c>
    </row>
    <row r="241" spans="1:2" ht="16.5" customHeight="1">
      <c r="A241" s="15" t="s">
        <v>62</v>
      </c>
      <c r="B241" s="15" t="s">
        <v>61</v>
      </c>
    </row>
    <row r="242" spans="1:2" ht="16.5" customHeight="1">
      <c r="A242" s="15" t="s">
        <v>60</v>
      </c>
      <c r="B242" s="15" t="s">
        <v>59</v>
      </c>
    </row>
    <row r="243" spans="1:2" ht="16.5" customHeight="1">
      <c r="A243" s="15" t="s">
        <v>58</v>
      </c>
      <c r="B243" s="15" t="s">
        <v>57</v>
      </c>
    </row>
    <row r="244" spans="1:2" ht="16.5" customHeight="1">
      <c r="A244" s="15" t="s">
        <v>56</v>
      </c>
      <c r="B244" s="15" t="s">
        <v>55</v>
      </c>
    </row>
    <row r="245" spans="1:2" ht="16.5" customHeight="1">
      <c r="A245" s="15" t="s">
        <v>54</v>
      </c>
      <c r="B245" s="15" t="s">
        <v>53</v>
      </c>
    </row>
    <row r="246" spans="1:2" ht="16.5" customHeight="1">
      <c r="A246" s="15" t="s">
        <v>52</v>
      </c>
      <c r="B246" s="15" t="s">
        <v>51</v>
      </c>
    </row>
    <row r="247" spans="1:2" ht="16.5" customHeight="1">
      <c r="A247" s="15" t="s">
        <v>50</v>
      </c>
      <c r="B247" s="15" t="s">
        <v>49</v>
      </c>
    </row>
    <row r="248" spans="1:2" ht="16.5" customHeight="1">
      <c r="A248" s="15" t="s">
        <v>48</v>
      </c>
      <c r="B248" s="15" t="s">
        <v>47</v>
      </c>
    </row>
    <row r="249" spans="1:2" ht="16.5" customHeight="1">
      <c r="A249" s="15" t="s">
        <v>46</v>
      </c>
      <c r="B249" s="15" t="s">
        <v>45</v>
      </c>
    </row>
    <row r="250" spans="1:2" ht="16.5" customHeight="1">
      <c r="A250" s="15" t="s">
        <v>44</v>
      </c>
      <c r="B250" s="15" t="s">
        <v>43</v>
      </c>
    </row>
    <row r="251" spans="1:2" ht="12.75" customHeight="1"/>
    <row r="252" spans="1:2" ht="12.75" customHeight="1"/>
    <row r="253" spans="1:2" ht="12.75" customHeight="1"/>
    <row r="254" spans="1:2" ht="12.75" customHeight="1"/>
    <row r="255" spans="1:2" ht="12.75" customHeight="1"/>
    <row r="256" spans="1:2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7115-6AE5-48FC-8A3C-3272F22150C5}">
  <dimension ref="A1:K12"/>
  <sheetViews>
    <sheetView workbookViewId="0">
      <selection activeCell="H3" sqref="H3"/>
    </sheetView>
  </sheetViews>
  <sheetFormatPr baseColWidth="10" defaultColWidth="8.83203125" defaultRowHeight="16"/>
  <cols>
    <col min="1" max="1" width="18.83203125" style="17" bestFit="1" customWidth="1"/>
    <col min="2" max="3" width="11.1640625" style="17" bestFit="1" customWidth="1"/>
    <col min="4" max="4" width="13.5" style="17" bestFit="1" customWidth="1"/>
    <col min="5" max="5" width="18.5" style="17" bestFit="1" customWidth="1"/>
    <col min="6" max="6" width="8.83203125" style="17"/>
    <col min="7" max="7" width="15.33203125" style="17" customWidth="1"/>
    <col min="8" max="9" width="9.83203125" style="17" bestFit="1" customWidth="1"/>
    <col min="10" max="10" width="13.6640625" style="17" bestFit="1" customWidth="1"/>
    <col min="11" max="11" width="18.6640625" style="17" bestFit="1" customWidth="1"/>
    <col min="12" max="16384" width="8.83203125" style="17"/>
  </cols>
  <sheetData>
    <row r="1" spans="1:11">
      <c r="A1" s="64" t="s">
        <v>588</v>
      </c>
      <c r="B1" s="65"/>
      <c r="C1" s="65"/>
      <c r="D1" s="65"/>
      <c r="E1" s="66"/>
      <c r="G1" s="67" t="s">
        <v>589</v>
      </c>
      <c r="H1" s="68"/>
      <c r="I1" s="68"/>
      <c r="J1" s="68"/>
      <c r="K1" s="69"/>
    </row>
    <row r="2" spans="1:11" ht="16.75" customHeight="1">
      <c r="A2" s="31"/>
      <c r="B2" s="32" t="s">
        <v>582</v>
      </c>
      <c r="C2" s="32" t="s">
        <v>583</v>
      </c>
      <c r="D2" s="32" t="s">
        <v>584</v>
      </c>
      <c r="E2" s="33" t="s">
        <v>585</v>
      </c>
      <c r="G2" s="31"/>
      <c r="H2" s="32" t="s">
        <v>582</v>
      </c>
      <c r="I2" s="32" t="s">
        <v>583</v>
      </c>
      <c r="J2" s="32" t="s">
        <v>584</v>
      </c>
      <c r="K2" s="33" t="s">
        <v>585</v>
      </c>
    </row>
    <row r="3" spans="1:11" ht="34">
      <c r="A3" s="34" t="s">
        <v>586</v>
      </c>
      <c r="B3" s="35">
        <f>SUMIFS('E - 2025-26 Digital Records'!$G:$G,'E - 2025-26 Digital Records'!$B:$B,"ESP",'E - 2025-26 Digital Records'!$D:$D,"Income",'E - 2025-26 Digital Records'!$A:$A,"&gt;="&amp;DATE(2025,4,1),'E - 2025-26 Digital Records'!$A:$A,"&lt;="&amp;DATE(2025,6,30))</f>
        <v>2451</v>
      </c>
      <c r="C3" s="36">
        <f>SUMIFS('E - 2025-26 Digital Records'!$G:$G,'E - 2025-26 Digital Records'!$B:$B,"ESP",'E - 2025-26 Digital Records'!$D:$D,"Income",'E - 2025-26 Digital Records'!$A:$A,"&gt;="&amp;DATE(2025,4,1),'E - 2025-26 Digital Records'!$A:$A,"&lt;="&amp;DATE(2025,9,30))</f>
        <v>4902</v>
      </c>
      <c r="D3" s="36">
        <f>SUMIFS('E - 2025-26 Digital Records'!$G:$G,'E - 2025-26 Digital Records'!$B:$B,"ESP",'E - 2025-26 Digital Records'!$D:$D,"Income",'E - 2025-26 Digital Records'!$A:$A,"&gt;="&amp;DATE(2025,4,1),'E - 2025-26 Digital Records'!$A:$A,"&lt;="&amp;DATE(2025,12,31))</f>
        <v>5719</v>
      </c>
      <c r="E3" s="37">
        <f>SUMIFS('E - 2025-26 Digital Records'!$G:$G,'E - 2025-26 Digital Records'!$B:$B,"ESP",'E - 2025-26 Digital Records'!$D:$D,"Income",'E - 2025-26 Digital Records'!$A:$A,"&gt;="&amp;DATE(2025,4,1),'E - 2025-26 Digital Records'!$A:$A,"&lt;="&amp;DATE(2026,3,31))</f>
        <v>8170</v>
      </c>
      <c r="G3" s="34" t="s">
        <v>586</v>
      </c>
      <c r="H3" s="36">
        <f>SUMIFS('E - 2025-26 Digital Records'!$G:$G,'E - 2025-26 Digital Records'!$B:$B,"PRT",'E - 2025-26 Digital Records'!$D:$D,"Income",'E - 2025-26 Digital Records'!$A:$A,"&gt;="&amp;DATE(2025,4,1),'E - 2025-26 Digital Records'!$A:$A,"&lt;="&amp;DATE(2025,6,30))</f>
        <v>2422.5</v>
      </c>
      <c r="I3" s="36">
        <f>SUMIFS('E - 2025-26 Digital Records'!$G:$G,'E - 2025-26 Digital Records'!$B:$B,"PRT",'E - 2025-26 Digital Records'!$D:$D,"Income",'E - 2025-26 Digital Records'!$A:$A,"&gt;="&amp;DATE(2025,4,1),'E - 2025-26 Digital Records'!$A:$A,"&lt;="&amp;DATE(2025,9,30))</f>
        <v>3230</v>
      </c>
      <c r="J3" s="36">
        <f>SUMIFS('E - 2025-26 Digital Records'!$G:$G,'E - 2025-26 Digital Records'!$B:$B,"PRT",'E - 2025-26 Digital Records'!$D:$D,"Income",'E - 2025-26 Digital Records'!$A:$A,"&gt;="&amp;DATE(2025,4,1),'E - 2025-26 Digital Records'!$A:$A,"&lt;="&amp;DATE(2025,12,31))</f>
        <v>4037.5</v>
      </c>
      <c r="K3" s="37">
        <f>SUMIFS('E - 2025-26 Digital Records'!$G:$G,'E - 2025-26 Digital Records'!$B:$B,"PRT",'E - 2025-26 Digital Records'!$D:$D,"Income",'E - 2025-26 Digital Records'!$A:$A,"&gt;="&amp;DATE(2025,4,1),'E - 2025-26 Digital Records'!$A:$A,"&lt;="&amp;DATE(2026,3,31))</f>
        <v>6460</v>
      </c>
    </row>
    <row r="4" spans="1:11" ht="35" thickBot="1">
      <c r="A4" s="34" t="s">
        <v>587</v>
      </c>
      <c r="B4" s="38">
        <f>SUMIFS('E - 2025-26 Digital Records'!$G:$G,'E - 2025-26 Digital Records'!$B:$B,"ESP",'E - 2025-26 Digital Records'!$D:$D,"Expense",'E - 2025-26 Digital Records'!$A:$A,"&gt;="&amp;DATE(2025,4,1),'E - 2025-26 Digital Records'!$A:$A,"&lt;="&amp;DATE(2025,6,30))</f>
        <v>685.42000000000007</v>
      </c>
      <c r="C4" s="38">
        <f>SUMIFS('E - 2025-26 Digital Records'!$G:$G,'E - 2025-26 Digital Records'!$B:$B,"ESP",'E - 2025-26 Digital Records'!$D:$D,"Expense",'E - 2025-26 Digital Records'!$A:$A,"&gt;="&amp;DATE(2025,4,1),'E - 2025-26 Digital Records'!$A:$A,"&lt;="&amp;DATE(2025,9,30))</f>
        <v>1177.3400000000001</v>
      </c>
      <c r="D4" s="38">
        <f>SUMIFS('E - 2025-26 Digital Records'!$G:$G,'E - 2025-26 Digital Records'!$B:$B,"ESP",'E - 2025-26 Digital Records'!$D:$D,"Expense",'E - 2025-26 Digital Records'!$A:$A,"&gt;="&amp;DATE(2025,4,1),'E - 2025-26 Digital Records'!$A:$A,"&lt;="&amp;DATE(2025,12,31))</f>
        <v>1290.8600000000001</v>
      </c>
      <c r="E4" s="39">
        <f>SUMIFS('E - 2025-26 Digital Records'!$G:$G,'E - 2025-26 Digital Records'!$B:$B,"ESP",'E - 2025-26 Digital Records'!$D:$D,"Expense",'E - 2025-26 Digital Records'!$A:$A,"&gt;="&amp;DATE(2025,4,1),'E - 2025-26 Digital Records'!$A:$A,"&lt;="&amp;DATE(2026,3,31))</f>
        <v>1862.7600000000002</v>
      </c>
      <c r="G4" s="34" t="s">
        <v>587</v>
      </c>
      <c r="H4" s="38">
        <f>SUMIFS('E - 2025-26 Digital Records'!$G:$G,'E - 2025-26 Digital Records'!$B:$B,"PRT",'E - 2025-26 Digital Records'!$D:$D,"Expense",'E - 2025-26 Digital Records'!$A:$A,"&gt;="&amp;DATE(2025,4,1),'E - 2025-26 Digital Records'!$A:$A,"&lt;="&amp;DATE(2025,6,30))</f>
        <v>505.75</v>
      </c>
      <c r="I4" s="38">
        <f>SUMIFS('E - 2025-26 Digital Records'!$G:$G,'E - 2025-26 Digital Records'!$B:$B,"PRT",'E - 2025-26 Digital Records'!$D:$D,"Expense",'E - 2025-26 Digital Records'!$A:$A,"&gt;="&amp;DATE(2025,4,1),'E - 2025-26 Digital Records'!$A:$A,"&lt;="&amp;DATE(2025,9,30))</f>
        <v>505.75</v>
      </c>
      <c r="J4" s="38">
        <f>SUMIFS('E - 2025-26 Digital Records'!$G:$G,'E - 2025-26 Digital Records'!$B:$B,"PRT",'E - 2025-26 Digital Records'!$D:$D,"Expense",'E - 2025-26 Digital Records'!$A:$A,"&gt;="&amp;DATE(2025,4,1),'E - 2025-26 Digital Records'!$A:$A,"&lt;="&amp;DATE(2025,12,31))</f>
        <v>624.75</v>
      </c>
      <c r="K4" s="39">
        <f>SUMIFS('E - 2025-26 Digital Records'!$G:$G,'E - 2025-26 Digital Records'!$B:$B,"PRT",'E - 2025-26 Digital Records'!$D:$D,"Expense",'E - 2025-26 Digital Records'!$A:$A,"&gt;="&amp;DATE(2025,4,1),'E - 2025-26 Digital Records'!$A:$A,"&lt;="&amp;DATE(2026,3,31))</f>
        <v>884</v>
      </c>
    </row>
    <row r="5" spans="1:11" ht="18" thickTop="1">
      <c r="A5" s="40" t="s">
        <v>580</v>
      </c>
      <c r="B5" s="41">
        <f>B3-B4</f>
        <v>1765.58</v>
      </c>
      <c r="C5" s="42">
        <f>C3-C4</f>
        <v>3724.66</v>
      </c>
      <c r="D5" s="42">
        <f>D3-D4</f>
        <v>4428.1399999999994</v>
      </c>
      <c r="E5" s="43">
        <f>E3-E4</f>
        <v>6307.24</v>
      </c>
      <c r="G5" s="40" t="s">
        <v>580</v>
      </c>
      <c r="H5" s="42">
        <f>H3-H4</f>
        <v>1916.75</v>
      </c>
      <c r="I5" s="42">
        <f>I3-I4</f>
        <v>2724.25</v>
      </c>
      <c r="J5" s="42">
        <f>J3-J4</f>
        <v>3412.75</v>
      </c>
      <c r="K5" s="43">
        <f>K3-K4</f>
        <v>5576</v>
      </c>
    </row>
    <row r="7" spans="1:11">
      <c r="A7" s="18"/>
      <c r="B7" s="18"/>
      <c r="C7" s="18"/>
      <c r="D7" s="18"/>
      <c r="E7" s="18"/>
      <c r="F7" s="18"/>
    </row>
    <row r="8" spans="1:11">
      <c r="A8" s="19"/>
      <c r="B8" s="19"/>
      <c r="C8" s="19"/>
      <c r="D8" s="19"/>
      <c r="E8" s="19"/>
      <c r="F8" s="19"/>
    </row>
    <row r="9" spans="1:11">
      <c r="A9" s="44"/>
      <c r="B9" s="44"/>
      <c r="C9" s="44"/>
      <c r="D9" s="44"/>
      <c r="E9" s="44"/>
      <c r="F9" s="19"/>
    </row>
    <row r="10" spans="1:11">
      <c r="B10" s="45"/>
      <c r="C10" s="45"/>
      <c r="D10" s="45"/>
      <c r="E10" s="45"/>
    </row>
    <row r="12" spans="1:11">
      <c r="B12" s="45"/>
      <c r="C12" s="45"/>
      <c r="D12" s="45"/>
      <c r="E12" s="45"/>
    </row>
  </sheetData>
  <mergeCells count="2">
    <mergeCell ref="A1:E1"/>
    <mergeCell ref="G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249F-034E-4527-87D8-48EC5CD5D61D}">
  <dimension ref="A1:K17"/>
  <sheetViews>
    <sheetView workbookViewId="0">
      <selection activeCell="H17" sqref="H17:K17"/>
    </sheetView>
  </sheetViews>
  <sheetFormatPr baseColWidth="10" defaultColWidth="8.83203125" defaultRowHeight="16"/>
  <cols>
    <col min="1" max="1" width="39.83203125" style="17" customWidth="1"/>
    <col min="2" max="3" width="9.83203125" style="17" bestFit="1" customWidth="1"/>
    <col min="4" max="4" width="14.33203125" style="17" customWidth="1"/>
    <col min="5" max="5" width="19.83203125" style="17" customWidth="1"/>
    <col min="6" max="6" width="8.83203125" style="17"/>
    <col min="7" max="7" width="37.6640625" style="17" customWidth="1"/>
    <col min="8" max="9" width="9.83203125" style="17" bestFit="1" customWidth="1"/>
    <col min="10" max="10" width="15" style="17" customWidth="1"/>
    <col min="11" max="11" width="19.5" style="17" customWidth="1"/>
    <col min="12" max="16384" width="8.83203125" style="17"/>
  </cols>
  <sheetData>
    <row r="1" spans="1:11">
      <c r="A1" s="70" t="s">
        <v>590</v>
      </c>
      <c r="B1" s="71"/>
      <c r="C1" s="71"/>
      <c r="D1" s="71"/>
      <c r="E1" s="72"/>
      <c r="G1" s="73" t="s">
        <v>591</v>
      </c>
      <c r="H1" s="74"/>
      <c r="I1" s="74"/>
      <c r="J1" s="74"/>
      <c r="K1" s="75"/>
    </row>
    <row r="2" spans="1:11" ht="19.75" customHeight="1">
      <c r="A2" s="55" t="s">
        <v>4</v>
      </c>
      <c r="B2" s="56" t="s">
        <v>582</v>
      </c>
      <c r="C2" s="32" t="s">
        <v>583</v>
      </c>
      <c r="D2" s="32" t="s">
        <v>584</v>
      </c>
      <c r="E2" s="33" t="s">
        <v>585</v>
      </c>
      <c r="F2" s="28"/>
      <c r="G2" s="55" t="s">
        <v>4</v>
      </c>
      <c r="H2" s="56" t="s">
        <v>582</v>
      </c>
      <c r="I2" s="32" t="s">
        <v>583</v>
      </c>
      <c r="J2" s="32" t="s">
        <v>584</v>
      </c>
      <c r="K2" s="33" t="s">
        <v>585</v>
      </c>
    </row>
    <row r="3" spans="1:11" ht="17">
      <c r="A3" s="57" t="s">
        <v>19</v>
      </c>
      <c r="B3" s="29">
        <f>SUMIFS('E - 2025-26 Digital Records'!$G:$G,'E - 2025-26 Digital Records'!$B:$B,"ESP",'E - 2025-26 Digital Records'!$E:$E,"Property rental income",'E - 2025-26 Digital Records'!$A:$A,"&gt;="&amp;DATE(2025,4,1),'E - 2025-26 Digital Records'!$A:$A,"&lt;="&amp;DATE(2025,6,30))</f>
        <v>2451</v>
      </c>
      <c r="C3" s="29">
        <f>SUMIFS('E - 2025-26 Digital Records'!$G:$G,'E - 2025-26 Digital Records'!$B:$B,"ESP",'E - 2025-26 Digital Records'!$E:$E,"Property rental income",'E - 2025-26 Digital Records'!$A:$A,"&gt;="&amp;DATE(2025,4,1),'E - 2025-26 Digital Records'!$A:$A,"&lt;="&amp;DATE(2025,9,30))</f>
        <v>4902</v>
      </c>
      <c r="D3" s="48">
        <f>SUMIFS('E - 2025-26 Digital Records'!$G:$G,'E - 2025-26 Digital Records'!$B:$B,"ESP",'E - 2025-26 Digital Records'!$E:$E,"Property rental income",'E - 2025-26 Digital Records'!$A:$A,"&gt;="&amp;DATE(2025,4,1),'E - 2025-26 Digital Records'!$A:$A,"&lt;="&amp;DATE(2025,12,31))</f>
        <v>5719</v>
      </c>
      <c r="E3" s="50">
        <f>SUMIFS('E - 2025-26 Digital Records'!$G:$G,'E - 2025-26 Digital Records'!$B:$B,"ESP",'E - 2025-26 Digital Records'!$E:$E,"Property rental income",'E - 2025-26 Digital Records'!$A:$A,"&gt;="&amp;DATE(2025,4,1),'E - 2025-26 Digital Records'!$A:$A,"&lt;="&amp;DATE(2026,3,31))</f>
        <v>8170</v>
      </c>
      <c r="F3" s="28"/>
      <c r="G3" s="57" t="s">
        <v>19</v>
      </c>
      <c r="H3" s="29">
        <f>SUMIFS('E - 2025-26 Digital Records'!$G:$G,'E - 2025-26 Digital Records'!$B:$B,"PRT",'E - 2025-26 Digital Records'!$E:$E,"Property rental income",'E - 2025-26 Digital Records'!$A:$A,"&gt;="&amp;DATE(2025,4,1),'E - 2025-26 Digital Records'!$A:$A,"&lt;="&amp;DATE(2025,6,30))</f>
        <v>2422.5</v>
      </c>
      <c r="I3" s="29">
        <f>SUMIFS('E - 2025-26 Digital Records'!$G:$G,'E - 2025-26 Digital Records'!$B:$B,"PRT",'E - 2025-26 Digital Records'!$E:$E,"Property rental income",'E - 2025-26 Digital Records'!$A:$A,"&gt;="&amp;DATE(2025,4,1),'E - 2025-26 Digital Records'!$A:$A,"&lt;="&amp;DATE(2025,9,30))</f>
        <v>3230</v>
      </c>
      <c r="J3" s="48">
        <f>SUMIFS('E - 2025-26 Digital Records'!$G:$G,'E - 2025-26 Digital Records'!$B:$B,"PRT",'E - 2025-26 Digital Records'!$E:$E,"Property rental income",'E - 2025-26 Digital Records'!$A:$A,"&gt;="&amp;DATE(2025,4,1),'E - 2025-26 Digital Records'!$A:$A,"&lt;="&amp;DATE(2025,12,31))</f>
        <v>4037.5</v>
      </c>
      <c r="K3" s="50">
        <f>SUMIFS('E - 2025-26 Digital Records'!$G:$G,'E - 2025-26 Digital Records'!$B:$B,"PRT",'E - 2025-26 Digital Records'!$E:$E,"Property rental income",'E - 2025-26 Digital Records'!$A:$A,"&gt;="&amp;DATE(2025,4,1),'E - 2025-26 Digital Records'!$A:$A,"&lt;="&amp;DATE(2026,3,31))</f>
        <v>6460</v>
      </c>
    </row>
    <row r="4" spans="1:11" ht="17">
      <c r="A4" s="58" t="s">
        <v>13</v>
      </c>
      <c r="B4" s="30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Records'!$A:$A,"&lt;="&amp;DATE(2025,6,30))</f>
        <v>0</v>
      </c>
      <c r="C4" s="30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Records'!$A:$A,"&lt;="&amp;DATE(2025,6,30))</f>
        <v>0</v>
      </c>
      <c r="D4" s="49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Records'!$A:$A,"&lt;="&amp;DATE(2025,9,30))</f>
        <v>0</v>
      </c>
      <c r="E4" s="51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Records'!$A:$A,"&lt;="&amp;DATE(2025,12,31))</f>
        <v>0</v>
      </c>
      <c r="F4" s="28"/>
      <c r="G4" s="58" t="s">
        <v>13</v>
      </c>
      <c r="H4" s="30">
        <f>SUMIFS('E - 2025-26 Digital Records'!$G:$G,'E - 2025-26 Digital Records'!$B:$B,"PRT",'E - 2025-26 Digital Records'!$E:$E,"Foreign tax credit relief",'E - 2025-26 Digital Records'!$A:$A,"&gt;="&amp;DATE(2025,4,1),'E - 2025-26 Digital Records'!$A:$A,"&lt;="&amp;DATE(2025,6,30))</f>
        <v>0</v>
      </c>
      <c r="I4" s="30">
        <f>SUMIFS('E - 2025-26 Digital Records'!$G:$G,'E - 2025-26 Digital Records'!$B:$B,"PRT",'E - 2025-26 Digital Records'!$E:$E,"Foreign tax credit relief",'E - 2025-26 Digital Records'!$A:$A,"&gt;="&amp;DATE(2025,4,1),'E - 2025-26 Digital Records'!$A:$A,"&lt;="&amp;DATE(2025,9,30))</f>
        <v>0</v>
      </c>
      <c r="J4" s="49">
        <f>SUMIFS('E - 2025-26 Digital Records'!$G:$G,'E - 2025-26 Digital Records'!$B:$B,"PRT",'E - 2025-26 Digital Records'!$E:$E,"Foreign tax credit relief",'E - 2025-26 Digital Records'!$A:$A,"&gt;="&amp;DATE(2025,4,1),'E - 2025-26 Digital Records'!$A:$A,"&lt;="&amp;DATE(2025,12,31))</f>
        <v>0</v>
      </c>
      <c r="K4" s="51">
        <f>SUMIFS('E - 2025-26 Digital Records'!$G:$G,'E - 2025-26 Digital Records'!$B:$B,"PRT",'E - 2025-26 Digital Records'!$E:$E,"Foreign tax credit relief",'E - 2025-26 Digital Records'!$A:$A,"&gt;="&amp;DATE(2025,4,1),'E - 2025-26 Digital Records'!$A:$A,"&lt;="&amp;DATE(2026,3,31))</f>
        <v>0</v>
      </c>
    </row>
    <row r="5" spans="1:11" ht="17">
      <c r="A5" s="58" t="s">
        <v>20</v>
      </c>
      <c r="B5" s="30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Records'!$A:$A,"&lt;="&amp;DATE(2026,3,31))</f>
        <v>0</v>
      </c>
      <c r="C5" s="30">
        <f>SUMIFS('E - 2025-26 Digital Records'!$G:$G,'E - 2025-26 Digital Records'!$B:$B,"ESP",'E - 2025-26 Digital Records'!$E:$E,"Foreign tax credit relief",'E - 2025-26 Digital Records'!$A:$A,"&gt;="&amp;DATE(2025,4,1),'E - 2025-26 Digital Records'!$A:$A,"&lt;="&amp;DATE(2026,3,31))</f>
        <v>0</v>
      </c>
      <c r="D5" s="49">
        <f>SUMIFS('E - 2025-26 Digital Records'!$G:$G,'E - 2025-26 Digital Records'!$B:$B,"ESP",'E - 2025-26 Digital Records'!$E:$E,"Premiums of lease grant",'E - 2025-26 Digital Records'!$A:$A,"&gt;="&amp;DATE(2025,4,1),'E - 2025-26 Digital Records'!$A:$A,"&lt;="&amp;DATE(2025,9,30))</f>
        <v>0</v>
      </c>
      <c r="E5" s="51">
        <f>SUMIFS('E - 2025-26 Digital Records'!$G:$G,'E - 2025-26 Digital Records'!$B:$B,"ESP",'E - 2025-26 Digital Records'!$E:$E,"Premiums of lease grant",'E - 2025-26 Digital Records'!$A:$A,"&gt;="&amp;DATE(2025,4,1),'E - 2025-26 Digital Records'!$A:$A,"&lt;="&amp;DATE(2025,9,30))</f>
        <v>0</v>
      </c>
      <c r="F5" s="28"/>
      <c r="G5" s="58" t="s">
        <v>20</v>
      </c>
      <c r="H5" s="30">
        <f>SUMIFS('E - 2025-26 Digital Records'!$G:$G,'E - 2025-26 Digital Records'!$B:$B,"PRT",'E - 2025-26 Digital Records'!$E:$E,"Premiums of lease grant",'E - 2025-26 Digital Records'!$A:$A,"&gt;="&amp;DATE(2025,4,1),'E - 2025-26 Digital Records'!$A:$A,"&lt;="&amp;DATE(2025,6,30))</f>
        <v>0</v>
      </c>
      <c r="I5" s="30">
        <f>SUMIFS('E - 2025-26 Digital Records'!$G:$G,'E - 2025-26 Digital Records'!$B:$B,"PRT",'E - 2025-26 Digital Records'!$E:$E,"Premiums of lease grant",'E - 2025-26 Digital Records'!$A:$A,"&gt;="&amp;DATE(2025,4,1),'E - 2025-26 Digital Records'!$A:$A,"&lt;="&amp;DATE(2025,9,30))</f>
        <v>0</v>
      </c>
      <c r="J5" s="49">
        <f>SUMIFS('E - 2025-26 Digital Records'!$G:$G,'E - 2025-26 Digital Records'!$B:$B,"PRT",'E - 2025-26 Digital Records'!$E:$E,"Premiums of lease grant",'E - 2025-26 Digital Records'!$A:$A,"&gt;="&amp;DATE(2025,4,1),'E - 2025-26 Digital Records'!$A:$A,"&lt;="&amp;DATE(2025,12,31))</f>
        <v>0</v>
      </c>
      <c r="K5" s="51">
        <f>SUMIFS('E - 2025-26 Digital Records'!$G:$G,'E - 2025-26 Digital Records'!$B:$B,"PRT",'E - 2025-26 Digital Records'!$E:$E,"Premiums of lease grant",'E - 2025-26 Digital Records'!$A:$A,"&gt;="&amp;DATE(2025,4,1),'E - 2025-26 Digital Records'!$A:$A,"&lt;="&amp;DATE(2026,3,31))</f>
        <v>0</v>
      </c>
    </row>
    <row r="6" spans="1:11" ht="17">
      <c r="A6" s="58" t="s">
        <v>10</v>
      </c>
      <c r="B6" s="30">
        <f>SUMIFS('E - 2025-26 Digital Records'!$G:$G,'E - 2025-26 Digital Records'!$B:$B,"ESP",'E - 2025-26 Digital Records'!$E:$E,"Foreign tax paid or deducted",'E - 2025-26 Digital Records'!$A:$A,"&gt;="&amp;DATE(2025,4,1),'E - 2025-26 Digital Records'!$A:$A,"&lt;="&amp;DATE(2025,6,30))</f>
        <v>0</v>
      </c>
      <c r="C6" s="29">
        <f>SUMIFS('E - 2025-26 Digital Records'!$G:$G,'E - 2025-26 Digital Records'!$B:$B,"ESP",'E - 2025-26 Digital Records'!$E:$E,"Foreign tax paid or deducted",'E - 2025-26 Digital Records'!$A:$A,"&gt;="&amp;DATE(2025,4,1),'E - 2025-26 Digital Records'!$A:$A,"&lt;="&amp;DATE(2025,9,30))</f>
        <v>69.66</v>
      </c>
      <c r="D6" s="48">
        <f>SUMIFS('E - 2025-26 Digital Records'!$G:$G,'E - 2025-26 Digital Records'!$B:$B,"ESP",'E - 2025-26 Digital Records'!$E:$E,"Foreign tax paid or deducted",'E - 2025-26 Digital Records'!$A:$A,"&gt;="&amp;DATE(2025,4,1),'E - 2025-26 Digital Records'!$A:$A,"&lt;="&amp;DATE(2025,12,31))</f>
        <v>183.18</v>
      </c>
      <c r="E6" s="50">
        <f>SUMIFS('E - 2025-26 Digital Records'!$G:$G,'E - 2025-26 Digital Records'!$B:$B,"ESP",'E - 2025-26 Digital Records'!$E:$E,"Foreign tax paid or deducted",'E - 2025-26 Digital Records'!$A:$A,"&gt;="&amp;DATE(2025,4,1),'E - 2025-26 Digital Records'!$A:$A,"&lt;="&amp;DATE(2026,3,31))</f>
        <v>183.18</v>
      </c>
      <c r="F6" s="28"/>
      <c r="G6" s="58" t="s">
        <v>10</v>
      </c>
      <c r="H6" s="30">
        <f>SUMIFS('E - 2025-26 Digital Records'!$G:$G,'E - 2025-26 Digital Records'!$B:$B,"PRT",'E - 2025-26 Digital Records'!$E:$E,"Foreign tax paid or deducted",'E - 2025-26 Digital Records'!$A:$A,"&gt;="&amp;DATE(2025,4,1),'E - 2025-26 Digital Records'!$A:$A,"&lt;="&amp;DATE(2025,6,30))</f>
        <v>0</v>
      </c>
      <c r="I6" s="30">
        <f>SUMIFS('E - 2025-26 Digital Records'!$G:$G,'E - 2025-26 Digital Records'!$B:$B,"PRT",'E - 2025-26 Digital Records'!$E:$E,"Foreign tax paid or deducted",'E - 2025-26 Digital Records'!$A:$A,"&gt;="&amp;DATE(2025,4,1),'E - 2025-26 Digital Records'!$A:$A,"&lt;="&amp;DATE(2025,9,30))</f>
        <v>0</v>
      </c>
      <c r="J6" s="49">
        <f>SUMIFS('E - 2025-26 Digital Records'!$G:$G,'E - 2025-26 Digital Records'!$B:$B,"PRT",'E - 2025-26 Digital Records'!$E:$E,"Foreign tax paid or deducted",'E - 2025-26 Digital Records'!$A:$A,"&gt;="&amp;DATE(2025,4,1),'E - 2025-26 Digital Records'!$A:$A,"&lt;="&amp;DATE(2025,12,31))</f>
        <v>0</v>
      </c>
      <c r="K6" s="51">
        <f>SUMIFS('E - 2025-26 Digital Records'!$G:$G,'E - 2025-26 Digital Records'!$B:$B,"PRT",'E - 2025-26 Digital Records'!$E:$E,"Foreign tax paid or deducted",'E - 2025-26 Digital Records'!$A:$A,"&gt;="&amp;DATE(2025,4,1),'E - 2025-26 Digital Records'!$A:$A,"&lt;="&amp;DATE(2026,3,31))</f>
        <v>0</v>
      </c>
    </row>
    <row r="7" spans="1:11" ht="17">
      <c r="A7" s="58" t="s">
        <v>16</v>
      </c>
      <c r="B7" s="30">
        <f>SUMIFS('E - 2025-26 Digital Records'!$G:$G,'E - 2025-26 Digital Records'!$B:$B,"ESP",'E - 2025-26 Digital Records'!$E:$E,"Special withholding tax or UK tax paid",'E - 2025-26 Digital Records'!$A:$A,"&gt;="&amp;DATE(2025,4,1),'E - 2025-26 Digital Records'!$A:$A,"&lt;="&amp;DATE(2025,6,30))</f>
        <v>0</v>
      </c>
      <c r="C7" s="30">
        <f>SUMIFS('E - 2025-26 Digital Records'!$G:$G,'E - 2025-26 Digital Records'!$B:$B,"ESP",'E - 2025-26 Digital Records'!$E:$E,"Special withholding tax or UK tax paid",'E - 2025-26 Digital Records'!$A:$A,"&gt;="&amp;DATE(2025,4,1),'E - 2025-26 Digital Records'!$A:$A,"&lt;="&amp;DATE(2025,9,30))</f>
        <v>0</v>
      </c>
      <c r="D7" s="49">
        <f>SUMIFS('E - 2025-26 Digital Records'!$G:$G,'E - 2025-26 Digital Records'!$B:$B,"ESP",'E - 2025-26 Digital Records'!$E:$E,"Special withholding tax or UK tax paid",'E - 2025-26 Digital Records'!$A:$A,"&gt;="&amp;DATE(2025,4,1),'E - 2025-26 Digital Records'!$A:$A,"&lt;="&amp;DATE(2025,12,31))</f>
        <v>0</v>
      </c>
      <c r="E7" s="51">
        <f>SUMIFS('E - 2025-26 Digital Records'!$G:$G,'E - 2025-26 Digital Records'!$B:$B,"ESP",'E - 2025-26 Digital Records'!$E:$E,"Special withholding tax or UK tax paid",'E - 2025-26 Digital Records'!$A:$A,"&gt;="&amp;DATE(2025,4,1),'E - 2025-26 Digital Records'!$A:$A,"&lt;="&amp;DATE(2026,3,31))</f>
        <v>0</v>
      </c>
      <c r="F7" s="28"/>
      <c r="G7" s="58" t="s">
        <v>16</v>
      </c>
      <c r="H7" s="30">
        <f>SUMIFS('E - 2025-26 Digital Records'!$G:$G,'E - 2025-26 Digital Records'!$B:$B,"PRT",'E - 2025-26 Digital Records'!$E:$E,"Special withholding tax or UK tax paid",'E - 2025-26 Digital Records'!$A:$A,"&gt;="&amp;DATE(2025,4,1),'E - 2025-26 Digital Records'!$A:$A,"&lt;="&amp;DATE(2025,6,30))</f>
        <v>0</v>
      </c>
      <c r="I7" s="30">
        <f>SUMIFS('E - 2025-26 Digital Records'!$G:$G,'E - 2025-26 Digital Records'!$B:$B,"PRT",'E - 2025-26 Digital Records'!$E:$E,"Special withholding tax or UK tax paid",'E - 2025-26 Digital Records'!$A:$A,"&gt;="&amp;DATE(2025,4,1),'E - 2025-26 Digital Records'!$A:$A,"&lt;="&amp;DATE(2025,9,30))</f>
        <v>0</v>
      </c>
      <c r="J7" s="49">
        <f>SUMIFS('E - 2025-26 Digital Records'!$G:$G,'E - 2025-26 Digital Records'!$B:$B,"PRT",'E - 2025-26 Digital Records'!$E:$E,"Special withholding tax or UK tax paid",'E - 2025-26 Digital Records'!$A:$A,"&gt;="&amp;DATE(2025,4,1),'E - 2025-26 Digital Records'!$A:$A,"&lt;="&amp;DATE(2025,12,31))</f>
        <v>0</v>
      </c>
      <c r="K7" s="51">
        <f>SUMIFS('E - 2025-26 Digital Records'!$G:$G,'E - 2025-26 Digital Records'!$B:$B,"PRT",'E - 2025-26 Digital Records'!$E:$E,"Special withholding tax or UK tax paid",'E - 2025-26 Digital Records'!$A:$A,"&gt;="&amp;DATE(2025,4,1),'E - 2025-26 Digital Records'!$A:$A,"&lt;="&amp;DATE(2026,3,31))</f>
        <v>0</v>
      </c>
    </row>
    <row r="8" spans="1:11" ht="17">
      <c r="A8" s="58" t="s">
        <v>7</v>
      </c>
      <c r="B8" s="29">
        <f>SUMIFS('E - 2025-26 Digital Records'!$G:$G,'E - 2025-26 Digital Records'!$B:$B,"ESP",'E - 2025-26 Digital Records'!$E:$E,"Premises running costs",'E - 2025-26 Digital Records'!$A:$A,"&gt;="&amp;DATE(2025,4,1),'E - 2025-26 Digital Records'!$A:$A,"&lt;="&amp;DATE(2025,6,30))</f>
        <v>239.94</v>
      </c>
      <c r="C8" s="29">
        <f>SUMIFS('E - 2025-26 Digital Records'!$G:$G,'E - 2025-26 Digital Records'!$B:$B,"ESP",'E - 2025-26 Digital Records'!$E:$E,"Premises running costs",'E - 2025-26 Digital Records'!$A:$A,"&gt;="&amp;DATE(2025,4,1),'E - 2025-26 Digital Records'!$A:$A,"&lt;="&amp;DATE(2025,9,30))</f>
        <v>374.96000000000004</v>
      </c>
      <c r="D8" s="48">
        <f>SUMIFS('E - 2025-26 Digital Records'!$G:$G,'E - 2025-26 Digital Records'!$B:$B,"ESP",'E - 2025-26 Digital Records'!$E:$E,"Premises running costs",'E - 2025-26 Digital Records'!$A:$A,"&gt;="&amp;DATE(2025,4,1),'E - 2025-26 Digital Records'!$A:$A,"&lt;="&amp;DATE(2025,12,31))</f>
        <v>374.96000000000004</v>
      </c>
      <c r="E8" s="50">
        <f>SUMIFS('E - 2025-26 Digital Records'!$G:$G,'E - 2025-26 Digital Records'!$B:$B,"ESP",'E - 2025-26 Digital Records'!$E:$E,"Premises running costs",'E - 2025-26 Digital Records'!$A:$A,"&gt;="&amp;DATE(2025,4,1),'E - 2025-26 Digital Records'!$A:$A,"&lt;="&amp;DATE(2026,3,31))</f>
        <v>374.96000000000004</v>
      </c>
      <c r="F8" s="28"/>
      <c r="G8" s="58" t="s">
        <v>7</v>
      </c>
      <c r="H8" s="30">
        <f>SUMIFS('E - 2025-26 Digital Records'!$G:$G,'E - 2025-26 Digital Records'!$B:$B,"PRT",'E - 2025-26 Digital Records'!$E:$E,"Premises running costs",'E - 2025-26 Digital Records'!$A:$A,"&gt;="&amp;DATE(2025,4,1),'E - 2025-26 Digital Records'!$A:$A,"&lt;="&amp;DATE(2025,6,30))</f>
        <v>0</v>
      </c>
      <c r="I8" s="30">
        <f>SUMIFS('E - 2025-26 Digital Records'!$G:$G,'E - 2025-26 Digital Records'!$B:$B,"PRT",'E - 2025-26 Digital Records'!$E:$E,"Premises running costs",'E - 2025-26 Digital Records'!$A:$A,"&gt;="&amp;DATE(2025,4,1),'E - 2025-26 Digital Records'!$A:$A,"&lt;="&amp;DATE(2025,9,30))</f>
        <v>0</v>
      </c>
      <c r="J8" s="49">
        <f>SUMIFS('E - 2025-26 Digital Records'!$G:$G,'E - 2025-26 Digital Records'!$B:$B,"PRT",'E - 2025-26 Digital Records'!$E:$E,"Premises running costs",'E - 2025-26 Digital Records'!$A:$A,"&gt;="&amp;DATE(2025,4,1),'E - 2025-26 Digital Records'!$A:$A,"&lt;="&amp;DATE(2025,12,31))</f>
        <v>0</v>
      </c>
      <c r="K8" s="50">
        <f>SUMIFS('E - 2025-26 Digital Records'!$G:$G,'E - 2025-26 Digital Records'!$B:$B,"PRT",'E - 2025-26 Digital Records'!$E:$E,"Premises running costs",'E - 2025-26 Digital Records'!$A:$A,"&gt;="&amp;DATE(2025,4,1),'E - 2025-26 Digital Records'!$A:$A,"&lt;="&amp;DATE(2026,3,31))</f>
        <v>178.5</v>
      </c>
    </row>
    <row r="9" spans="1:11" ht="17">
      <c r="A9" s="58" t="s">
        <v>9</v>
      </c>
      <c r="B9" s="30">
        <f>SUMIFS('E - 2025-26 Digital Records'!$G:$G,'E - 2025-26 Digital Records'!$B:$B,"ESP",'E - 2025-26 Digital Records'!$E:$E,"Repairs and maintenance",'E - 2025-26 Digital Records'!$A:$A,"&gt;="&amp;DATE(2025,4,1),'E - 2025-26 Digital Records'!$A:$A,"&lt;="&amp;DATE(2025,6,30))</f>
        <v>0</v>
      </c>
      <c r="C9" s="30">
        <f>SUMIFS('E - 2025-26 Digital Records'!$G:$G,'E - 2025-26 Digital Records'!$B:$B,"ESP",'E - 2025-26 Digital Records'!$E:$E,"Repairs and maintenance",'E - 2025-26 Digital Records'!$A:$A,"&gt;="&amp;DATE(2025,4,1),'E - 2025-26 Digital Records'!$A:$A,"&lt;="&amp;DATE(2025,9,30))</f>
        <v>0</v>
      </c>
      <c r="D9" s="49">
        <f>SUMIFS('E - 2025-26 Digital Records'!$G:$G,'E - 2025-26 Digital Records'!$B:$B,"ESP",'E - 2025-26 Digital Records'!$E:$E,"Repairs and maintenance",'E - 2025-26 Digital Records'!$A:$A,"&gt;="&amp;DATE(2025,4,1),'E - 2025-26 Digital Records'!$A:$A,"&lt;="&amp;DATE(2025,12,31))</f>
        <v>0</v>
      </c>
      <c r="E9" s="50">
        <f>SUMIFS('E - 2025-26 Digital Records'!$G:$G,'E - 2025-26 Digital Records'!$B:$B,"ESP",'E - 2025-26 Digital Records'!$E:$E,"Repairs and maintenance",'E - 2025-26 Digital Records'!$A:$A,"&gt;="&amp;DATE(2025,4,1),'E - 2025-26 Digital Records'!$A:$A,"&lt;="&amp;DATE(2026,3,31))</f>
        <v>103.2</v>
      </c>
      <c r="F9" s="28"/>
      <c r="G9" s="58" t="s">
        <v>9</v>
      </c>
      <c r="H9" s="30">
        <f>SUMIFS('E - 2025-26 Digital Records'!$G:$G,'E - 2025-26 Digital Records'!$B:$B,"PRT",'E - 2025-26 Digital Records'!$E:$E,"Repairs and maintenance",'E - 2025-26 Digital Records'!$A:$A,"&gt;="&amp;DATE(2025,4,1),'E - 2025-26 Digital Records'!$A:$A,"&lt;="&amp;DATE(2025,6,30))</f>
        <v>0</v>
      </c>
      <c r="I9" s="30">
        <f>SUMIFS('E - 2025-26 Digital Records'!$G:$G,'E - 2025-26 Digital Records'!$B:$B,"PRT",'E - 2025-26 Digital Records'!$E:$E,"Repairs and maintenance",'E - 2025-26 Digital Records'!$A:$A,"&gt;="&amp;DATE(2025,4,1),'E - 2025-26 Digital Records'!$A:$A,"&lt;="&amp;DATE(2025,9,30))</f>
        <v>0</v>
      </c>
      <c r="J9" s="49">
        <f>SUMIFS('E - 2025-26 Digital Records'!$G:$G,'E - 2025-26 Digital Records'!$B:$B,"PRT",'E - 2025-26 Digital Records'!$E:$E,"Repairs and maintenance",'E - 2025-26 Digital Records'!$A:$A,"&gt;="&amp;DATE(2025,4,1),'E - 2025-26 Digital Records'!$A:$A,"&lt;="&amp;DATE(2025,12,31))</f>
        <v>0</v>
      </c>
      <c r="K9" s="50">
        <f>SUMIFS('E - 2025-26 Digital Records'!$G:$G,'E - 2025-26 Digital Records'!$B:$B,"PRT",'E - 2025-26 Digital Records'!$E:$E,"Repairs and maintenance",'E - 2025-26 Digital Records'!$A:$A,"&gt;="&amp;DATE(2025,4,1),'E - 2025-26 Digital Records'!$A:$A,"&lt;="&amp;DATE(2026,3,31))</f>
        <v>80.75</v>
      </c>
    </row>
    <row r="10" spans="1:11" ht="17">
      <c r="A10" s="58" t="s">
        <v>8</v>
      </c>
      <c r="B10" s="30">
        <f>SUMIFS('E - 2025-26 Digital Records'!$G:$G,'E - 2025-26 Digital Records'!$B:$B,"ESP",'E - 2025-26 Digital Records'!$E:$E,"Financial costs",'E - 2025-26 Digital Records'!$A:$A,"&gt;="&amp;DATE(2025,4,1),'E - 2025-26 Digital Records'!$A:$A,"&lt;="&amp;DATE(2025,6,30))</f>
        <v>0</v>
      </c>
      <c r="C10" s="30">
        <f>SUMIFS('E - 2025-26 Digital Records'!$G:$G,'E - 2025-26 Digital Records'!$B:$B,"ESP",'E - 2025-26 Digital Records'!$E:$E,"Financial costs",'E - 2025-26 Digital Records'!$A:$A,"&gt;="&amp;DATE(2025,4,1),'E - 2025-26 Digital Records'!$A:$A,"&lt;="&amp;DATE(2025,9,30))</f>
        <v>0</v>
      </c>
      <c r="D10" s="49">
        <f>SUMIFS('E - 2025-26 Digital Records'!$G:$G,'E - 2025-26 Digital Records'!$B:$B,"ESP",'E - 2025-26 Digital Records'!$E:$E,"Financial costs",'E - 2025-26 Digital Records'!$A:$A,"&gt;="&amp;DATE(2025,4,1),'E - 2025-26 Digital Records'!$A:$A,"&lt;="&amp;DATE(2025,12,31))</f>
        <v>0</v>
      </c>
      <c r="E10" s="51">
        <f>SUMIFS('E - 2025-26 Digital Records'!$G:$G,'E - 2025-26 Digital Records'!$B:$B,"ESP",'E - 2025-26 Digital Records'!$E:$E,"Financial costs",'E - 2025-26 Digital Records'!$A:$A,"&gt;="&amp;DATE(2025,4,1),'E - 2025-26 Digital Records'!$A:$A,"&lt;="&amp;DATE(2026,3,31))</f>
        <v>0</v>
      </c>
      <c r="F10" s="28"/>
      <c r="G10" s="58" t="s">
        <v>8</v>
      </c>
      <c r="H10" s="30">
        <f>SUMIFS('E - 2025-26 Digital Records'!$G:$G,'E - 2025-26 Digital Records'!$B:$B,"PRT",'E - 2025-26 Digital Records'!$E:$E,"Financial costs",'E - 2025-26 Digital Records'!$A:$A,"&gt;="&amp;DATE(2025,4,1),'E - 2025-26 Digital Records'!$A:$A,"&lt;="&amp;DATE(2025,6,30))</f>
        <v>0</v>
      </c>
      <c r="I10" s="30">
        <f>SUMIFS('E - 2025-26 Digital Records'!$G:$G,'E - 2025-26 Digital Records'!$B:$B,"PRT",'E - 2025-26 Digital Records'!$E:$E,"Financial costs",'E - 2025-26 Digital Records'!$A:$A,"&gt;="&amp;DATE(2025,4,1),'E - 2025-26 Digital Records'!$A:$A,"&lt;="&amp;DATE(2025,9,30))</f>
        <v>0</v>
      </c>
      <c r="J10" s="49">
        <f>SUMIFS('E - 2025-26 Digital Records'!$G:$G,'E - 2025-26 Digital Records'!$B:$B,"PRT",'E - 2025-26 Digital Records'!$E:$E,"Financial costs",'E - 2025-26 Digital Records'!$A:$A,"&gt;="&amp;DATE(2025,4,1),'E - 2025-26 Digital Records'!$A:$A,"&lt;="&amp;DATE(2025,12,31))</f>
        <v>0</v>
      </c>
      <c r="K10" s="51">
        <f>SUMIFS('E - 2025-26 Digital Records'!$G:$G,'E - 2025-26 Digital Records'!$B:$B,"PRT",'E - 2025-26 Digital Records'!$E:$E,"Financial costs",'E - 2025-26 Digital Records'!$A:$A,"&gt;="&amp;DATE(2025,4,1),'E - 2025-26 Digital Records'!$A:$A,"&lt;="&amp;DATE(2026,3,31))</f>
        <v>0</v>
      </c>
    </row>
    <row r="11" spans="1:11" ht="17">
      <c r="A11" s="58" t="s">
        <v>12</v>
      </c>
      <c r="B11" s="30">
        <f>SUMIFS('E - 2025-26 Digital Records'!$G:$G,'E - 2025-26 Digital Records'!$B:$B,"ESP",'E - 2025-26 Digital Records'!$E:$E,"Professional fees",'E - 2025-26 Digital Records'!$A:$A,"&gt;="&amp;DATE(2025,4,1),'E - 2025-26 Digital Records'!$A:$A,"&lt;="&amp;DATE(2025,6,30))</f>
        <v>0</v>
      </c>
      <c r="C11" s="30">
        <f>SUMIFS('E - 2025-26 Digital Records'!$G:$G,'E - 2025-26 Digital Records'!$B:$B,"ESP",'E - 2025-26 Digital Records'!$E:$E,"Professional fees",'E - 2025-26 Digital Records'!$A:$A,"&gt;="&amp;DATE(2025,4,1),'E - 2025-26 Digital Records'!$A:$A,"&lt;="&amp;DATE(2025,9,30))</f>
        <v>0</v>
      </c>
      <c r="D11" s="49">
        <f>SUMIFS('E - 2025-26 Digital Records'!$G:$G,'E - 2025-26 Digital Records'!$B:$B,"ESP",'E - 2025-26 Digital Records'!$E:$E,"Professional fees",'E - 2025-26 Digital Records'!$A:$A,"&gt;="&amp;DATE(2025,4,1),'E - 2025-26 Digital Records'!$A:$A,"&lt;="&amp;DATE(2025,12,31))</f>
        <v>0</v>
      </c>
      <c r="E11" s="51">
        <f>SUMIFS('E - 2025-26 Digital Records'!$G:$G,'E - 2025-26 Digital Records'!$B:$B,"ESP",'E - 2025-26 Digital Records'!$E:$E,"Professional fees",'E - 2025-26 Digital Records'!$A:$A,"&gt;="&amp;DATE(2025,4,1),'E - 2025-26 Digital Records'!$A:$A,"&lt;="&amp;DATE(2026,3,31))</f>
        <v>0</v>
      </c>
      <c r="F11" s="28"/>
      <c r="G11" s="58" t="s">
        <v>12</v>
      </c>
      <c r="H11" s="30">
        <f>SUMIFS('E - 2025-26 Digital Records'!$G:$G,'E - 2025-26 Digital Records'!$B:$B,"PRT",'E - 2025-26 Digital Records'!$E:$E,"Professional fees",'E - 2025-26 Digital Records'!$A:$A,"&gt;="&amp;DATE(2025,4,1),'E - 2025-26 Digital Records'!$A:$A,"&lt;="&amp;DATE(2025,6,30))</f>
        <v>0</v>
      </c>
      <c r="I11" s="30">
        <f>SUMIFS('E - 2025-26 Digital Records'!$G:$G,'E - 2025-26 Digital Records'!$B:$B,"PRT",'E - 2025-26 Digital Records'!$E:$E,"Professional fees",'E - 2025-26 Digital Records'!$A:$A,"&gt;="&amp;DATE(2025,4,1),'E - 2025-26 Digital Records'!$A:$A,"&lt;="&amp;DATE(2025,9,30))</f>
        <v>0</v>
      </c>
      <c r="J11" s="49">
        <f>SUMIFS('E - 2025-26 Digital Records'!$G:$G,'E - 2025-26 Digital Records'!$B:$B,"PRT",'E - 2025-26 Digital Records'!$E:$E,"Professional fees",'E - 2025-26 Digital Records'!$A:$A,"&gt;="&amp;DATE(2025,4,1),'E - 2025-26 Digital Records'!$A:$A,"&lt;="&amp;DATE(2025,12,31))</f>
        <v>0</v>
      </c>
      <c r="K11" s="51">
        <f>SUMIFS('E - 2025-26 Digital Records'!$G:$G,'E - 2025-26 Digital Records'!$B:$B,"PRT",'E - 2025-26 Digital Records'!$E:$E,"Professional fees",'E - 2025-26 Digital Records'!$A:$A,"&gt;="&amp;DATE(2025,4,1),'E - 2025-26 Digital Records'!$A:$A,"&lt;="&amp;DATE(2026,3,31))</f>
        <v>0</v>
      </c>
    </row>
    <row r="12" spans="1:11" ht="17">
      <c r="A12" s="58" t="s">
        <v>14</v>
      </c>
      <c r="B12" s="30">
        <f>SUMIFS('E - 2025-26 Digital Records'!$G:$G,'E - 2025-26 Digital Records'!$B:$B,"ESP",'E - 2025-26 Digital Records'!$E:$E,"Travel costs",'E - 2025-26 Digital Records'!$A:$A,"&gt;="&amp;DATE(2025,4,1),'E - 2025-26 Digital Records'!$A:$A,"&lt;="&amp;DATE(2025,6,30))</f>
        <v>0</v>
      </c>
      <c r="C12" s="30">
        <f>SUMIFS('E - 2025-26 Digital Records'!$G:$G,'E - 2025-26 Digital Records'!$B:$B,"ESP",'E - 2025-26 Digital Records'!$E:$E,"Travel costs",'E - 2025-26 Digital Records'!$A:$A,"&gt;="&amp;DATE(2025,4,1),'E - 2025-26 Digital Records'!$A:$A,"&lt;="&amp;DATE(2025,9,30))</f>
        <v>0</v>
      </c>
      <c r="D12" s="49">
        <f>SUMIFS('E - 2025-26 Digital Records'!$G:$G,'E - 2025-26 Digital Records'!$B:$B,"ESP",'E - 2025-26 Digital Records'!$E:$E,"Travel costs",'E - 2025-26 Digital Records'!$A:$A,"&gt;="&amp;DATE(2025,4,1),'E - 2025-26 Digital Records'!$A:$A,"&lt;="&amp;DATE(2025,12,31))</f>
        <v>0</v>
      </c>
      <c r="E12" s="51">
        <f>SUMIFS('E - 2025-26 Digital Records'!$G:$G,'E - 2025-26 Digital Records'!$B:$B,"ESP",'E - 2025-26 Digital Records'!$E:$E,"Travel costs",'E - 2025-26 Digital Records'!$A:$A,"&gt;="&amp;DATE(2025,4,1),'E - 2025-26 Digital Records'!$A:$A,"&lt;="&amp;DATE(2026,3,31))</f>
        <v>0</v>
      </c>
      <c r="F12" s="28"/>
      <c r="G12" s="58" t="s">
        <v>14</v>
      </c>
      <c r="H12" s="30">
        <f>SUMIFS('E - 2025-26 Digital Records'!$G:$G,'E - 2025-26 Digital Records'!$B:$B,"PRT",'E - 2025-26 Digital Records'!$E:$E,"Travel costs",'E - 2025-26 Digital Records'!$A:$A,"&gt;="&amp;DATE(2025,4,1),'E - 2025-26 Digital Records'!$A:$A,"&lt;="&amp;DATE(2025,6,30))</f>
        <v>0</v>
      </c>
      <c r="I12" s="30">
        <f>SUMIFS('E - 2025-26 Digital Records'!$G:$G,'E - 2025-26 Digital Records'!$B:$B,"PRT",'E - 2025-26 Digital Records'!$E:$E,"Travel costs",'E - 2025-26 Digital Records'!$A:$A,"&gt;="&amp;DATE(2025,4,1),'E - 2025-26 Digital Records'!$A:$A,"&lt;="&amp;DATE(2025,9,30))</f>
        <v>0</v>
      </c>
      <c r="J12" s="49">
        <f>SUMIFS('E - 2025-26 Digital Records'!$G:$G,'E - 2025-26 Digital Records'!$B:$B,"PRT",'E - 2025-26 Digital Records'!$E:$E,"Travel costs",'E - 2025-26 Digital Records'!$A:$A,"&gt;="&amp;DATE(2025,4,1),'E - 2025-26 Digital Records'!$A:$A,"&lt;="&amp;DATE(2025,12,31))</f>
        <v>0</v>
      </c>
      <c r="K12" s="51">
        <f>SUMIFS('E - 2025-26 Digital Records'!$G:$G,'E - 2025-26 Digital Records'!$B:$B,"PRT",'E - 2025-26 Digital Records'!$E:$E,"Travel costs",'E - 2025-26 Digital Records'!$A:$A,"&gt;="&amp;DATE(2025,4,1),'E - 2025-26 Digital Records'!$A:$A,"&lt;="&amp;DATE(2026,3,31))</f>
        <v>0</v>
      </c>
    </row>
    <row r="13" spans="1:11" ht="17">
      <c r="A13" s="58" t="s">
        <v>11</v>
      </c>
      <c r="B13" s="29">
        <f>SUMIFS('E - 2025-26 Digital Records'!$G:$G,'E - 2025-26 Digital Records'!$B:$B,"ESP",'E - 2025-26 Digital Records'!$E:$E,"Cost of services",'E - 2025-26 Digital Records'!$A:$A,"&gt;="&amp;DATE(2025,4,1),'E - 2025-26 Digital Records'!$A:$A,"&lt;="&amp;DATE(2025,6,30))</f>
        <v>108.36</v>
      </c>
      <c r="C13" s="29">
        <f>SUMIFS('E - 2025-26 Digital Records'!$G:$G,'E - 2025-26 Digital Records'!$B:$B,"ESP",'E - 2025-26 Digital Records'!$E:$E,"Cost of services",'E - 2025-26 Digital Records'!$A:$A,"&gt;="&amp;DATE(2025,4,1),'E - 2025-26 Digital Records'!$A:$A,"&lt;="&amp;DATE(2025,9,30))</f>
        <v>108.36</v>
      </c>
      <c r="D13" s="48">
        <f>SUMIFS('E - 2025-26 Digital Records'!$G:$G,'E - 2025-26 Digital Records'!$B:$B,"ESP",'E - 2025-26 Digital Records'!$E:$E,"Cost of services",'E - 2025-26 Digital Records'!$A:$A,"&gt;="&amp;DATE(2025,4,1),'E - 2025-26 Digital Records'!$A:$A,"&lt;="&amp;DATE(2025,9,30))</f>
        <v>108.36</v>
      </c>
      <c r="E13" s="50">
        <f>SUMIFS('E - 2025-26 Digital Records'!$G:$G,'E - 2025-26 Digital Records'!$B:$B,"ESP",'E - 2025-26 Digital Records'!$E:$E,"Cost of services",'E - 2025-26 Digital Records'!$A:$A,"&gt;="&amp;DATE(2025,4,1),'E - 2025-26 Digital Records'!$A:$A,"&lt;="&amp;DATE(2026,3,31))</f>
        <v>267.45999999999998</v>
      </c>
      <c r="F13" s="28"/>
      <c r="G13" s="58" t="s">
        <v>11</v>
      </c>
      <c r="H13" s="29">
        <f>SUMIFS('E - 2025-26 Digital Records'!$G:$G,'E - 2025-26 Digital Records'!$B:$B,"PRT",'E - 2025-26 Digital Records'!$E:$E,"Cost of services",'E - 2025-26 Digital Records'!$A:$A,"&gt;="&amp;DATE(2025,4,1),'E - 2025-26 Digital Records'!$A:$A,"&lt;="&amp;DATE(2025,6,30))</f>
        <v>241.39999999999998</v>
      </c>
      <c r="I13" s="29">
        <f>SUMIFS('E - 2025-26 Digital Records'!$G:$G,'E - 2025-26 Digital Records'!$B:$B,"PRT",'E - 2025-26 Digital Records'!$E:$E,"Cost of services",'E - 2025-26 Digital Records'!$A:$A,"&gt;="&amp;DATE(2025,4,1),'E - 2025-26 Digital Records'!$A:$A,"&lt;="&amp;DATE(2025,9,30))</f>
        <v>241.39999999999998</v>
      </c>
      <c r="J13" s="48">
        <f>SUMIFS('E - 2025-26 Digital Records'!$G:$G,'E - 2025-26 Digital Records'!$B:$B,"PRT",'E - 2025-26 Digital Records'!$E:$E,"Cost of services",'E - 2025-26 Digital Records'!$A:$A,"&gt;="&amp;DATE(2025,4,1),'E - 2025-26 Digital Records'!$A:$A,"&lt;="&amp;DATE(2025,12,31))</f>
        <v>360.4</v>
      </c>
      <c r="K13" s="50">
        <f>SUMIFS('E - 2025-26 Digital Records'!$G:$G,'E - 2025-26 Digital Records'!$B:$B,"PRT",'E - 2025-26 Digital Records'!$E:$E,"Cost of services",'E - 2025-26 Digital Records'!$A:$A,"&gt;="&amp;DATE(2025,4,1),'E - 2025-26 Digital Records'!$A:$A,"&lt;="&amp;DATE(2026,3,31))</f>
        <v>360.4</v>
      </c>
    </row>
    <row r="14" spans="1:11" ht="17">
      <c r="A14" s="58" t="s">
        <v>6</v>
      </c>
      <c r="B14" s="30">
        <f>SUMIFS('E - 2025-26 Digital Records'!$G:$G,'E - 2025-26 Digital Records'!$B:$B,"ESP",'E - 2025-26 Digital Records'!$E:$E,"Other",'E - 2025-26 Digital Records'!$A:$A,"&gt;="&amp;DATE(2025,4,1),'E - 2025-26 Digital Records'!$A:$A,"&lt;="&amp;DATE(2025,6,30))</f>
        <v>0</v>
      </c>
      <c r="C14" s="30">
        <f>SUMIFS('E - 2025-26 Digital Records'!$G:$G,'E - 2025-26 Digital Records'!$B:$B,"ESP",'E - 2025-26 Digital Records'!$E:$E,"Other",'E - 2025-26 Digital Records'!$A:$A,"&gt;="&amp;DATE(2025,4,1),'E - 2025-26 Digital Records'!$A:$A,"&lt;="&amp;DATE(2025,9,30))</f>
        <v>0</v>
      </c>
      <c r="D14" s="49">
        <f>SUMIFS('E - 2025-26 Digital Records'!$G:$G,'E - 2025-26 Digital Records'!$B:$B,"ESP",'E - 2025-26 Digital Records'!$E:$E,"Other",'E - 2025-26 Digital Records'!$A:$A,"&gt;="&amp;DATE(2025,4,1),'E - 2025-26 Digital Records'!$A:$A,"&lt;="&amp;DATE(2025,12,31))</f>
        <v>0</v>
      </c>
      <c r="E14" s="51">
        <f>SUMIFS('E - 2025-26 Digital Records'!$G:$G,'E - 2025-26 Digital Records'!$B:$B,"ESP",'E - 2025-26 Digital Records'!$E:$E,"Other",'E - 2025-26 Digital Records'!$A:$A,"&gt;="&amp;DATE(2025,4,1),'E - 2025-26 Digital Records'!$A:$A,"&lt;="&amp;DATE(2026,3,31))</f>
        <v>0</v>
      </c>
      <c r="F14" s="28"/>
      <c r="G14" s="58" t="s">
        <v>6</v>
      </c>
      <c r="H14" s="30">
        <f>SUMIFS('E - 2025-26 Digital Records'!$G:$G,'E - 2025-26 Digital Records'!$B:$B,"PRT",'E - 2025-26 Digital Records'!$E:$E,"Other",'E - 2025-26 Digital Records'!$A:$A,"&gt;="&amp;DATE(2025,4,1),'E - 2025-26 Digital Records'!$A:$A,"&lt;="&amp;DATE(2025,6,30))</f>
        <v>0</v>
      </c>
      <c r="I14" s="30">
        <f>SUMIFS('E - 2025-26 Digital Records'!$G:$G,'E - 2025-26 Digital Records'!$B:$B,"PRT",'E - 2025-26 Digital Records'!$E:$E,"Other",'E - 2025-26 Digital Records'!$A:$A,"&gt;="&amp;DATE(2025,4,1),'E - 2025-26 Digital Records'!$A:$A,"&lt;="&amp;DATE(2025,9,30))</f>
        <v>0</v>
      </c>
      <c r="J14" s="49">
        <f>SUMIFS('E - 2025-26 Digital Records'!$G:$G,'E - 2025-26 Digital Records'!$B:$B,"PRT",'E - 2025-26 Digital Records'!$E:$E,"Other",'E - 2025-26 Digital Records'!$A:$A,"&gt;="&amp;DATE(2025,4,1),'E - 2025-26 Digital Records'!$A:$A,"&lt;="&amp;DATE(2025,12,31))</f>
        <v>0</v>
      </c>
      <c r="K14" s="51">
        <f>SUMIFS('E - 2025-26 Digital Records'!$G:$G,'E - 2025-26 Digital Records'!$B:$B,"PRT",'E - 2025-26 Digital Records'!$E:$E,"Other",'E - 2025-26 Digital Records'!$A:$A,"&gt;="&amp;DATE(2025,4,1),'E - 2025-26 Digital Records'!$A:$A,"&lt;="&amp;DATE(2026,3,31))</f>
        <v>0</v>
      </c>
    </row>
    <row r="15" spans="1:11" ht="17">
      <c r="A15" s="58" t="s">
        <v>15</v>
      </c>
      <c r="B15" s="29">
        <f>SUMIFS('E - 2025-26 Digital Records'!$G:$G,'E - 2025-26 Digital Records'!$B:$B,"ESP",'E - 2025-26 Digital Records'!$E:$E,"Residential finance cost tax reduction",'E - 2025-26 Digital Records'!$A:$A,"&gt;="&amp;DATE(2025,4,1),'E - 2025-26 Digital Records'!$A:$A,"&lt;="&amp;DATE(2025,6,30))</f>
        <v>337.12</v>
      </c>
      <c r="C15" s="29">
        <f>SUMIFS('E - 2025-26 Digital Records'!$G:$G,'E - 2025-26 Digital Records'!$B:$B,"ESP",'E - 2025-26 Digital Records'!$E:$E,"Residential finance cost tax reduction",'E - 2025-26 Digital Records'!$A:$A,"&gt;="&amp;DATE(2025,4,1),'E - 2025-26 Digital Records'!$A:$A,"&lt;="&amp;DATE(2025,9,30))</f>
        <v>624.36</v>
      </c>
      <c r="D15" s="48">
        <f>SUMIFS('E - 2025-26 Digital Records'!$G:$G,'E - 2025-26 Digital Records'!$B:$B,"ESP",'E - 2025-26 Digital Records'!$E:$E,"Residential finance cost tax reduction",'E - 2025-26 Digital Records'!$A:$A,"&gt;="&amp;DATE(2025,4,1),'E - 2025-26 Digital Records'!$A:$A,"&lt;="&amp;DATE(2025,12,31))</f>
        <v>624.36</v>
      </c>
      <c r="E15" s="50">
        <f>SUMIFS('E - 2025-26 Digital Records'!$G:$G,'E - 2025-26 Digital Records'!$B:$B,"ESP",'E - 2025-26 Digital Records'!$E:$E,"Residential finance cost tax reduction",'E - 2025-26 Digital Records'!$A:$A,"&gt;="&amp;DATE(2025,4,1),'E - 2025-26 Digital Records'!$A:$A,"&lt;="&amp;DATE(2026,3,31))</f>
        <v>933.96</v>
      </c>
      <c r="F15" s="28"/>
      <c r="G15" s="58" t="s">
        <v>15</v>
      </c>
      <c r="H15" s="29">
        <f>SUMIFS('E - 2025-26 Digital Records'!$G:$G,'E - 2025-26 Digital Records'!$B:$B,"PRT",'E - 2025-26 Digital Records'!$E:$E,"Residential finance cost tax reduction",'E - 2025-26 Digital Records'!$A:$A,"&gt;="&amp;DATE(2025,4,1),'E - 2025-26 Digital Records'!$A:$A,"&lt;="&amp;DATE(2025,6,30))</f>
        <v>264.35000000000002</v>
      </c>
      <c r="I15" s="29">
        <f>SUMIFS('E - 2025-26 Digital Records'!$G:$G,'E - 2025-26 Digital Records'!$B:$B,"PRT",'E - 2025-26 Digital Records'!$E:$E,"Residential finance cost tax reduction",'E - 2025-26 Digital Records'!$A:$A,"&gt;="&amp;DATE(2025,4,1),'E - 2025-26 Digital Records'!$A:$A,"&lt;="&amp;DATE(2025,9,30))</f>
        <v>264.35000000000002</v>
      </c>
      <c r="J15" s="48">
        <f>SUMIFS('E - 2025-26 Digital Records'!$G:$G,'E - 2025-26 Digital Records'!$B:$B,"PRT",'E - 2025-26 Digital Records'!$E:$E,"Residential finance cost tax reduction",'E - 2025-26 Digital Records'!$A:$A,"&gt;="&amp;DATE(2025,4,1),'E - 2025-26 Digital Records'!$A:$A,"&lt;="&amp;DATE(2025,12,31))</f>
        <v>264.35000000000002</v>
      </c>
      <c r="K15" s="50">
        <f>SUMIFS('E - 2025-26 Digital Records'!$G:$G,'E - 2025-26 Digital Records'!$B:$B,"PRT",'E - 2025-26 Digital Records'!$E:$E,"Residential finance cost tax reduction",'E - 2025-26 Digital Records'!$A:$A,"&gt;="&amp;DATE(2025,4,1),'E - 2025-26 Digital Records'!$A:$A,"&lt;="&amp;DATE(2026,3,31))</f>
        <v>264.35000000000002</v>
      </c>
    </row>
    <row r="16" spans="1:11" ht="18" thickBot="1">
      <c r="A16" s="58" t="s">
        <v>23</v>
      </c>
      <c r="B16" s="47">
        <f>SUMIFS('E - 2025-26 Digital Records'!$G:$G,'E - 2025-26 Digital Records'!$B:$B,"ESP",'E - 2025-26 Digital Records'!$E:$E,"Brought forward residential financial cost",'E - 2025-26 Digital Records'!$A:$A,"&gt;="&amp;DATE(2025,4,1),'E - 2025-26 Digital Records'!$A:$A,"&lt;="&amp;DATE(2025,6,30))</f>
        <v>0</v>
      </c>
      <c r="C16" s="47">
        <f>SUMIFS('E - 2025-26 Digital Records'!$G:$G,'E - 2025-26 Digital Records'!$B:$B,"ESP",'E - 2025-26 Digital Records'!$E:$E,"Brought forward residential financial cost",'E - 2025-26 Digital Records'!$A:$A,"&gt;="&amp;DATE(2025,4,1),'E - 2025-26 Digital Records'!$A:$A,"&lt;="&amp;DATE(2025,9,30))</f>
        <v>0</v>
      </c>
      <c r="D16" s="46">
        <f>SUMIFS('E - 2025-26 Digital Records'!$G:$G,'E - 2025-26 Digital Records'!$B:$B,"ESP",'E - 2025-26 Digital Records'!$E:$E,"Brought forward residential financial cost",'E - 2025-26 Digital Records'!$A:$A,"&gt;="&amp;DATE(2025,4,1),'E - 2025-26 Digital Records'!$A:$A,"&lt;="&amp;DATE(2025,12,31))</f>
        <v>0</v>
      </c>
      <c r="E16" s="52">
        <f>SUMIFS('E - 2025-26 Digital Records'!$G:$G,'E - 2025-26 Digital Records'!$B:$B,"ESP",'E - 2025-26 Digital Records'!$E:$E,"Brought forward residential financial cost",'E - 2025-26 Digital Records'!$A:$A,"&gt;="&amp;DATE(2025,4,1),'E - 2025-26 Digital Records'!$A:$A,"&lt;="&amp;DATE(2026,3,31))</f>
        <v>0</v>
      </c>
      <c r="F16" s="28"/>
      <c r="G16" s="58" t="s">
        <v>23</v>
      </c>
      <c r="H16" s="47">
        <f>SUMIFS('E - 2025-26 Digital Records'!$G:$G,'E - 2025-26 Digital Records'!$B:$B,"PRT",'E - 2025-26 Digital Records'!$E:$E,"Brought forward residential financial cost",'E - 2025-26 Digital Records'!$A:$A,"&gt;="&amp;DATE(2025,4,1),'E - 2025-26 Digital Records'!$A:$A,"&lt;="&amp;DATE(2025,6,30))</f>
        <v>0</v>
      </c>
      <c r="I16" s="47">
        <f>SUMIFS('E - 2025-26 Digital Records'!$G:$G,'E - 2025-26 Digital Records'!$B:$B,"PRT",'E - 2025-26 Digital Records'!$E:$E,"Brought forward residential financial cost",'E - 2025-26 Digital Records'!$A:$A,"&gt;="&amp;DATE(2025,4,1),'E - 2025-26 Digital Records'!$A:$A,"&lt;="&amp;DATE(2025,6,30))</f>
        <v>0</v>
      </c>
      <c r="J16" s="46">
        <f>SUMIFS('E - 2025-26 Digital Records'!$G:$G,'E - 2025-26 Digital Records'!$B:$B,"PRT",'E - 2025-26 Digital Records'!$E:$E,"Brought forward residential financial cost",'E - 2025-26 Digital Records'!$A:$A,"&gt;="&amp;DATE(2025,4,1),'E - 2025-26 Digital Records'!$A:$A,"&lt;="&amp;DATE(2025,12,31))</f>
        <v>0</v>
      </c>
      <c r="K16" s="52">
        <f>SUMIFS('E - 2025-26 Digital Records'!$G:$G,'E - 2025-26 Digital Records'!$B:$B,"PRT",'E - 2025-26 Digital Records'!$E:$E,"Brought forward residential financial cost",'E - 2025-26 Digital Records'!$A:$A,"&gt;="&amp;DATE(2025,4,1),'E - 2025-26 Digital Records'!$A:$A,"&lt;="&amp;DATE(2026,3,31))</f>
        <v>0</v>
      </c>
    </row>
    <row r="17" spans="1:11" ht="18" thickTop="1">
      <c r="A17" s="53" t="s">
        <v>581</v>
      </c>
      <c r="B17" s="59">
        <f>SUM(B6:B16)</f>
        <v>685.42000000000007</v>
      </c>
      <c r="C17" s="59">
        <f>SUM(C6:C16)</f>
        <v>1177.3400000000001</v>
      </c>
      <c r="D17" s="54">
        <f>SUM(D6:D16)</f>
        <v>1290.8600000000001</v>
      </c>
      <c r="E17" s="60">
        <f>SUM(E6:E16)</f>
        <v>1862.7600000000002</v>
      </c>
      <c r="F17" s="28"/>
      <c r="G17" s="53" t="s">
        <v>581</v>
      </c>
      <c r="H17" s="59">
        <f>SUM(H8:H16)</f>
        <v>505.75</v>
      </c>
      <c r="I17" s="54">
        <f>SUM(I8:I16)</f>
        <v>505.75</v>
      </c>
      <c r="J17" s="54">
        <f>SUM(J8:J16)</f>
        <v>624.75</v>
      </c>
      <c r="K17" s="60">
        <f>SUM(K8:K16)</f>
        <v>884</v>
      </c>
    </row>
  </sheetData>
  <mergeCells count="2">
    <mergeCell ref="A1:E1"/>
    <mergeCell ref="G1:K1"/>
  </mergeCells>
  <pageMargins left="0.7" right="0.7" top="0.75" bottom="0.75" header="0.3" footer="0.3"/>
  <pageSetup orientation="portrait" r:id="rId1"/>
  <ignoredErrors>
    <ignoredError sqref="D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8BDB-20CE-49EB-8B67-4C8C79410DED}">
  <dimension ref="A1:G36"/>
  <sheetViews>
    <sheetView workbookViewId="0">
      <selection activeCell="E13" sqref="E13"/>
    </sheetView>
  </sheetViews>
  <sheetFormatPr baseColWidth="10" defaultColWidth="8.83203125" defaultRowHeight="16"/>
  <cols>
    <col min="1" max="1" width="11.1640625" style="17" bestFit="1" customWidth="1"/>
    <col min="2" max="2" width="10.33203125" style="17" customWidth="1"/>
    <col min="3" max="3" width="38.33203125" style="17" bestFit="1" customWidth="1"/>
    <col min="4" max="5" width="38.33203125" style="17" customWidth="1"/>
    <col min="6" max="6" width="9.83203125" style="17" customWidth="1"/>
    <col min="7" max="7" width="10.1640625" style="17" customWidth="1"/>
    <col min="8" max="16384" width="8.83203125" style="17"/>
  </cols>
  <sheetData>
    <row r="1" spans="1:7">
      <c r="A1" s="27" t="s">
        <v>0</v>
      </c>
      <c r="B1" s="27" t="s">
        <v>1</v>
      </c>
      <c r="C1" s="27" t="s">
        <v>2</v>
      </c>
      <c r="D1" s="27" t="s">
        <v>575</v>
      </c>
      <c r="E1" s="27" t="s">
        <v>4</v>
      </c>
      <c r="F1" s="27" t="s">
        <v>3</v>
      </c>
      <c r="G1" s="27" t="s">
        <v>578</v>
      </c>
    </row>
    <row r="2" spans="1:7">
      <c r="A2" s="20" t="s">
        <v>0</v>
      </c>
      <c r="B2" s="20" t="s">
        <v>1</v>
      </c>
      <c r="C2" s="20" t="s">
        <v>2</v>
      </c>
      <c r="D2" s="20" t="s">
        <v>575</v>
      </c>
      <c r="E2" s="20" t="s">
        <v>4</v>
      </c>
      <c r="F2" s="20" t="s">
        <v>3</v>
      </c>
      <c r="G2" s="20" t="s">
        <v>578</v>
      </c>
    </row>
    <row r="3" spans="1:7">
      <c r="A3" s="21">
        <v>45748</v>
      </c>
      <c r="B3" s="22" t="s">
        <v>5</v>
      </c>
      <c r="C3" s="22" t="s">
        <v>557</v>
      </c>
      <c r="D3" s="22" t="s">
        <v>33</v>
      </c>
      <c r="E3" s="22" t="s">
        <v>576</v>
      </c>
      <c r="F3" s="22">
        <v>0.86</v>
      </c>
      <c r="G3" s="25">
        <v>817</v>
      </c>
    </row>
    <row r="4" spans="1:7">
      <c r="A4" s="23">
        <v>45754</v>
      </c>
      <c r="B4" s="24" t="s">
        <v>5</v>
      </c>
      <c r="C4" s="24" t="s">
        <v>541</v>
      </c>
      <c r="D4" s="24" t="s">
        <v>579</v>
      </c>
      <c r="E4" s="24" t="s">
        <v>11</v>
      </c>
      <c r="F4" s="24">
        <v>0.86</v>
      </c>
      <c r="G4" s="26">
        <v>108.36</v>
      </c>
    </row>
    <row r="5" spans="1:7">
      <c r="A5" s="21">
        <v>45778</v>
      </c>
      <c r="B5" s="22" t="s">
        <v>5</v>
      </c>
      <c r="C5" s="22" t="s">
        <v>569</v>
      </c>
      <c r="D5" s="22" t="s">
        <v>33</v>
      </c>
      <c r="E5" s="22" t="s">
        <v>576</v>
      </c>
      <c r="F5" s="22">
        <v>0.86</v>
      </c>
      <c r="G5" s="25">
        <v>817</v>
      </c>
    </row>
    <row r="6" spans="1:7">
      <c r="A6" s="23">
        <v>45783</v>
      </c>
      <c r="B6" s="24" t="s">
        <v>5</v>
      </c>
      <c r="C6" s="24" t="s">
        <v>542</v>
      </c>
      <c r="D6" s="24" t="s">
        <v>579</v>
      </c>
      <c r="E6" s="24" t="s">
        <v>7</v>
      </c>
      <c r="F6" s="24">
        <v>0.86</v>
      </c>
      <c r="G6" s="26">
        <v>239.94</v>
      </c>
    </row>
    <row r="7" spans="1:7">
      <c r="A7" s="21">
        <v>45809</v>
      </c>
      <c r="B7" s="22" t="s">
        <v>5</v>
      </c>
      <c r="C7" s="22" t="s">
        <v>568</v>
      </c>
      <c r="D7" s="22" t="s">
        <v>33</v>
      </c>
      <c r="E7" s="22" t="s">
        <v>576</v>
      </c>
      <c r="F7" s="22">
        <v>0.86</v>
      </c>
      <c r="G7" s="25">
        <v>817</v>
      </c>
    </row>
    <row r="8" spans="1:7">
      <c r="A8" s="23">
        <v>45829</v>
      </c>
      <c r="B8" s="24" t="s">
        <v>5</v>
      </c>
      <c r="C8" s="24" t="s">
        <v>543</v>
      </c>
      <c r="D8" s="24" t="s">
        <v>579</v>
      </c>
      <c r="E8" s="24" t="s">
        <v>577</v>
      </c>
      <c r="F8" s="24">
        <v>0.86</v>
      </c>
      <c r="G8" s="26">
        <v>337.12</v>
      </c>
    </row>
    <row r="9" spans="1:7">
      <c r="A9" s="21">
        <v>45839</v>
      </c>
      <c r="B9" s="22" t="s">
        <v>5</v>
      </c>
      <c r="C9" s="22" t="s">
        <v>567</v>
      </c>
      <c r="D9" s="22" t="s">
        <v>33</v>
      </c>
      <c r="E9" s="22" t="s">
        <v>576</v>
      </c>
      <c r="F9" s="22">
        <v>0.86</v>
      </c>
      <c r="G9" s="25">
        <v>817</v>
      </c>
    </row>
    <row r="10" spans="1:7">
      <c r="A10" s="23">
        <v>45748</v>
      </c>
      <c r="B10" s="24" t="s">
        <v>17</v>
      </c>
      <c r="C10" s="24" t="s">
        <v>558</v>
      </c>
      <c r="D10" s="24" t="s">
        <v>33</v>
      </c>
      <c r="E10" s="24" t="s">
        <v>576</v>
      </c>
      <c r="F10" s="24">
        <v>0.85</v>
      </c>
      <c r="G10" s="26">
        <v>807.5</v>
      </c>
    </row>
    <row r="11" spans="1:7">
      <c r="A11" s="21">
        <v>45761</v>
      </c>
      <c r="B11" s="22" t="s">
        <v>17</v>
      </c>
      <c r="C11" s="22" t="s">
        <v>544</v>
      </c>
      <c r="D11" s="22" t="s">
        <v>579</v>
      </c>
      <c r="E11" s="22" t="s">
        <v>577</v>
      </c>
      <c r="F11" s="22">
        <v>0.85</v>
      </c>
      <c r="G11" s="25">
        <v>264.35000000000002</v>
      </c>
    </row>
    <row r="12" spans="1:7">
      <c r="A12" s="23">
        <v>45778</v>
      </c>
      <c r="B12" s="24" t="s">
        <v>17</v>
      </c>
      <c r="C12" s="24" t="s">
        <v>566</v>
      </c>
      <c r="D12" s="24" t="s">
        <v>33</v>
      </c>
      <c r="E12" s="24" t="s">
        <v>576</v>
      </c>
      <c r="F12" s="24">
        <v>0.85</v>
      </c>
      <c r="G12" s="26">
        <v>807.5</v>
      </c>
    </row>
    <row r="13" spans="1:7">
      <c r="A13" s="21">
        <v>45799</v>
      </c>
      <c r="B13" s="22" t="s">
        <v>17</v>
      </c>
      <c r="C13" s="22" t="s">
        <v>545</v>
      </c>
      <c r="D13" s="22" t="s">
        <v>579</v>
      </c>
      <c r="E13" s="22" t="s">
        <v>11</v>
      </c>
      <c r="F13" s="22">
        <v>0.85</v>
      </c>
      <c r="G13" s="25">
        <v>79.05</v>
      </c>
    </row>
    <row r="14" spans="1:7">
      <c r="A14" s="23">
        <v>45809</v>
      </c>
      <c r="B14" s="24" t="s">
        <v>17</v>
      </c>
      <c r="C14" s="24" t="s">
        <v>565</v>
      </c>
      <c r="D14" s="24" t="s">
        <v>33</v>
      </c>
      <c r="E14" s="24" t="s">
        <v>576</v>
      </c>
      <c r="F14" s="24">
        <v>0.85</v>
      </c>
      <c r="G14" s="26">
        <v>807.5</v>
      </c>
    </row>
    <row r="15" spans="1:7">
      <c r="A15" s="21">
        <v>45813</v>
      </c>
      <c r="B15" s="22" t="s">
        <v>17</v>
      </c>
      <c r="C15" s="22" t="s">
        <v>546</v>
      </c>
      <c r="D15" s="22" t="s">
        <v>579</v>
      </c>
      <c r="E15" s="22" t="s">
        <v>11</v>
      </c>
      <c r="F15" s="22">
        <v>0.85</v>
      </c>
      <c r="G15" s="25">
        <v>162.35</v>
      </c>
    </row>
    <row r="16" spans="1:7">
      <c r="A16" s="23">
        <v>45839</v>
      </c>
      <c r="B16" s="24" t="s">
        <v>17</v>
      </c>
      <c r="C16" s="24" t="s">
        <v>564</v>
      </c>
      <c r="D16" s="24" t="s">
        <v>33</v>
      </c>
      <c r="E16" s="24" t="s">
        <v>576</v>
      </c>
      <c r="F16" s="24">
        <v>0.85</v>
      </c>
      <c r="G16" s="26">
        <v>807.5</v>
      </c>
    </row>
    <row r="17" spans="1:7">
      <c r="A17" s="21">
        <v>45858</v>
      </c>
      <c r="B17" s="22" t="s">
        <v>5</v>
      </c>
      <c r="C17" s="22" t="s">
        <v>547</v>
      </c>
      <c r="D17" s="22" t="s">
        <v>579</v>
      </c>
      <c r="E17" s="22" t="s">
        <v>7</v>
      </c>
      <c r="F17" s="22">
        <v>0.86</v>
      </c>
      <c r="G17" s="25">
        <v>135.02000000000001</v>
      </c>
    </row>
    <row r="18" spans="1:7">
      <c r="A18" s="23">
        <v>45870</v>
      </c>
      <c r="B18" s="24" t="s">
        <v>5</v>
      </c>
      <c r="C18" s="24" t="s">
        <v>563</v>
      </c>
      <c r="D18" s="24" t="s">
        <v>33</v>
      </c>
      <c r="E18" s="24" t="s">
        <v>576</v>
      </c>
      <c r="F18" s="24">
        <v>0.86</v>
      </c>
      <c r="G18" s="26">
        <v>817</v>
      </c>
    </row>
    <row r="19" spans="1:7">
      <c r="A19" s="21">
        <v>45879</v>
      </c>
      <c r="B19" s="22" t="s">
        <v>5</v>
      </c>
      <c r="C19" s="22" t="s">
        <v>548</v>
      </c>
      <c r="D19" s="22" t="s">
        <v>579</v>
      </c>
      <c r="E19" s="22" t="s">
        <v>10</v>
      </c>
      <c r="F19" s="22">
        <v>0.86</v>
      </c>
      <c r="G19" s="25">
        <v>69.66</v>
      </c>
    </row>
    <row r="20" spans="1:7">
      <c r="A20" s="23">
        <v>45901</v>
      </c>
      <c r="B20" s="24" t="s">
        <v>5</v>
      </c>
      <c r="C20" s="24" t="s">
        <v>562</v>
      </c>
      <c r="D20" s="24" t="s">
        <v>33</v>
      </c>
      <c r="E20" s="24" t="s">
        <v>576</v>
      </c>
      <c r="F20" s="24">
        <v>0.86</v>
      </c>
      <c r="G20" s="26">
        <v>817</v>
      </c>
    </row>
    <row r="21" spans="1:7">
      <c r="A21" s="21">
        <v>45922</v>
      </c>
      <c r="B21" s="22" t="s">
        <v>5</v>
      </c>
      <c r="C21" s="22" t="s">
        <v>549</v>
      </c>
      <c r="D21" s="22" t="s">
        <v>579</v>
      </c>
      <c r="E21" s="22" t="s">
        <v>577</v>
      </c>
      <c r="F21" s="22">
        <v>0.86</v>
      </c>
      <c r="G21" s="25">
        <v>287.24</v>
      </c>
    </row>
    <row r="22" spans="1:7">
      <c r="A22" s="23">
        <v>45931</v>
      </c>
      <c r="B22" s="24" t="s">
        <v>5</v>
      </c>
      <c r="C22" s="24" t="s">
        <v>559</v>
      </c>
      <c r="D22" s="24" t="s">
        <v>33</v>
      </c>
      <c r="E22" s="24" t="s">
        <v>576</v>
      </c>
      <c r="F22" s="24">
        <v>0.86</v>
      </c>
      <c r="G22" s="26">
        <v>817</v>
      </c>
    </row>
    <row r="23" spans="1:7">
      <c r="A23" s="21">
        <v>45936</v>
      </c>
      <c r="B23" s="22" t="s">
        <v>5</v>
      </c>
      <c r="C23" s="22" t="s">
        <v>550</v>
      </c>
      <c r="D23" s="22" t="s">
        <v>579</v>
      </c>
      <c r="E23" s="22" t="s">
        <v>10</v>
      </c>
      <c r="F23" s="22">
        <v>0.86</v>
      </c>
      <c r="G23" s="25">
        <v>113.52</v>
      </c>
    </row>
    <row r="24" spans="1:7">
      <c r="A24" s="23">
        <v>45962</v>
      </c>
      <c r="B24" s="24" t="s">
        <v>17</v>
      </c>
      <c r="C24" s="24" t="s">
        <v>561</v>
      </c>
      <c r="D24" s="24" t="s">
        <v>33</v>
      </c>
      <c r="E24" s="24" t="s">
        <v>576</v>
      </c>
      <c r="F24" s="24">
        <v>0.85</v>
      </c>
      <c r="G24" s="26">
        <v>807.5</v>
      </c>
    </row>
    <row r="25" spans="1:7">
      <c r="A25" s="21">
        <v>45983</v>
      </c>
      <c r="B25" s="22" t="s">
        <v>17</v>
      </c>
      <c r="C25" s="22" t="s">
        <v>551</v>
      </c>
      <c r="D25" s="22" t="s">
        <v>579</v>
      </c>
      <c r="E25" s="22" t="s">
        <v>11</v>
      </c>
      <c r="F25" s="22">
        <v>0.85</v>
      </c>
      <c r="G25" s="25">
        <v>119</v>
      </c>
    </row>
    <row r="26" spans="1:7">
      <c r="A26" s="23">
        <v>46028</v>
      </c>
      <c r="B26" s="24" t="s">
        <v>5</v>
      </c>
      <c r="C26" s="24" t="s">
        <v>560</v>
      </c>
      <c r="D26" s="24" t="s">
        <v>33</v>
      </c>
      <c r="E26" s="24" t="s">
        <v>576</v>
      </c>
      <c r="F26" s="24">
        <v>0.86</v>
      </c>
      <c r="G26" s="26">
        <v>817</v>
      </c>
    </row>
    <row r="27" spans="1:7">
      <c r="A27" s="21">
        <v>46040</v>
      </c>
      <c r="B27" s="22" t="s">
        <v>5</v>
      </c>
      <c r="C27" s="22" t="s">
        <v>552</v>
      </c>
      <c r="D27" s="22" t="s">
        <v>579</v>
      </c>
      <c r="E27" s="22" t="s">
        <v>11</v>
      </c>
      <c r="F27" s="22">
        <v>0.86</v>
      </c>
      <c r="G27" s="25">
        <v>159.1</v>
      </c>
    </row>
    <row r="28" spans="1:7">
      <c r="A28" s="23">
        <v>46059</v>
      </c>
      <c r="B28" s="24" t="s">
        <v>5</v>
      </c>
      <c r="C28" s="24" t="s">
        <v>570</v>
      </c>
      <c r="D28" s="24" t="s">
        <v>33</v>
      </c>
      <c r="E28" s="24" t="s">
        <v>576</v>
      </c>
      <c r="F28" s="24">
        <v>0.86</v>
      </c>
      <c r="G28" s="26">
        <v>817</v>
      </c>
    </row>
    <row r="29" spans="1:7">
      <c r="A29" s="21">
        <v>46073</v>
      </c>
      <c r="B29" s="22" t="s">
        <v>5</v>
      </c>
      <c r="C29" s="22" t="s">
        <v>553</v>
      </c>
      <c r="D29" s="22" t="s">
        <v>579</v>
      </c>
      <c r="E29" s="22" t="s">
        <v>9</v>
      </c>
      <c r="F29" s="22">
        <v>0.86</v>
      </c>
      <c r="G29" s="25">
        <v>103.2</v>
      </c>
    </row>
    <row r="30" spans="1:7">
      <c r="A30" s="23">
        <v>46087</v>
      </c>
      <c r="B30" s="24" t="s">
        <v>5</v>
      </c>
      <c r="C30" s="24" t="s">
        <v>571</v>
      </c>
      <c r="D30" s="24" t="s">
        <v>33</v>
      </c>
      <c r="E30" s="24" t="s">
        <v>576</v>
      </c>
      <c r="F30" s="24">
        <v>0.86</v>
      </c>
      <c r="G30" s="26">
        <v>817</v>
      </c>
    </row>
    <row r="31" spans="1:7">
      <c r="A31" s="23">
        <v>46088</v>
      </c>
      <c r="B31" s="22" t="s">
        <v>5</v>
      </c>
      <c r="C31" s="22" t="s">
        <v>554</v>
      </c>
      <c r="D31" s="22" t="s">
        <v>579</v>
      </c>
      <c r="E31" s="22" t="s">
        <v>577</v>
      </c>
      <c r="F31" s="22">
        <v>0.86</v>
      </c>
      <c r="G31" s="25">
        <v>309.60000000000002</v>
      </c>
    </row>
    <row r="32" spans="1:7">
      <c r="A32" s="23">
        <v>46089</v>
      </c>
      <c r="B32" s="24" t="s">
        <v>17</v>
      </c>
      <c r="C32" s="24" t="s">
        <v>572</v>
      </c>
      <c r="D32" s="24" t="s">
        <v>33</v>
      </c>
      <c r="E32" s="24" t="s">
        <v>576</v>
      </c>
      <c r="F32" s="24">
        <v>0.85</v>
      </c>
      <c r="G32" s="26">
        <v>807.5</v>
      </c>
    </row>
    <row r="33" spans="1:7">
      <c r="A33" s="23">
        <v>46090</v>
      </c>
      <c r="B33" s="22" t="s">
        <v>17</v>
      </c>
      <c r="C33" s="22" t="s">
        <v>555</v>
      </c>
      <c r="D33" s="22" t="s">
        <v>579</v>
      </c>
      <c r="E33" s="22" t="s">
        <v>9</v>
      </c>
      <c r="F33" s="22">
        <v>0.85</v>
      </c>
      <c r="G33" s="25">
        <v>80.75</v>
      </c>
    </row>
    <row r="34" spans="1:7">
      <c r="A34" s="23">
        <v>46091</v>
      </c>
      <c r="B34" s="24" t="s">
        <v>17</v>
      </c>
      <c r="C34" s="24" t="s">
        <v>573</v>
      </c>
      <c r="D34" s="24" t="s">
        <v>33</v>
      </c>
      <c r="E34" s="24" t="s">
        <v>576</v>
      </c>
      <c r="F34" s="24">
        <v>0.85</v>
      </c>
      <c r="G34" s="26">
        <v>807.5</v>
      </c>
    </row>
    <row r="35" spans="1:7">
      <c r="A35" s="23">
        <v>46092</v>
      </c>
      <c r="B35" s="22" t="s">
        <v>17</v>
      </c>
      <c r="C35" s="22" t="s">
        <v>556</v>
      </c>
      <c r="D35" s="22" t="s">
        <v>579</v>
      </c>
      <c r="E35" s="22" t="s">
        <v>7</v>
      </c>
      <c r="F35" s="22">
        <v>0.85</v>
      </c>
      <c r="G35" s="25">
        <v>178.5</v>
      </c>
    </row>
    <row r="36" spans="1:7">
      <c r="A36" s="23">
        <v>46093</v>
      </c>
      <c r="B36" s="24" t="s">
        <v>17</v>
      </c>
      <c r="C36" s="24" t="s">
        <v>574</v>
      </c>
      <c r="D36" s="24" t="s">
        <v>33</v>
      </c>
      <c r="E36" s="24" t="s">
        <v>576</v>
      </c>
      <c r="F36" s="24">
        <v>0.85</v>
      </c>
      <c r="G36" s="26">
        <v>807.5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 - abratax_mtd_import</vt:lpstr>
      <vt:lpstr>B - country_codes</vt:lpstr>
      <vt:lpstr>C - Summary</vt:lpstr>
      <vt:lpstr>D - Detailed Summary </vt:lpstr>
      <vt:lpstr>E - 2025-26 Digital Records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2025-11-14T12:31:18Z</dcterms:created>
  <dcterms:modified xsi:type="dcterms:W3CDTF">2026-04-15T08:09:37Z</dcterms:modified>
  <cp:category/>
</cp:coreProperties>
</file>